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20" yWindow="-20" windowWidth="9570" windowHeight="9120" tabRatio="820"/>
  </bookViews>
  <sheets>
    <sheet name="Consumption" sheetId="1" r:id="rId1"/>
    <sheet name="Inclination angle" sheetId="2" r:id="rId2"/>
    <sheet name="Battery" sheetId="3" r:id="rId3"/>
    <sheet name="PV" sheetId="4" r:id="rId4"/>
    <sheet name="Load Reg." sheetId="7" r:id="rId5"/>
    <sheet name="Power acond" sheetId="8" r:id="rId6"/>
    <sheet name="Protection" sheetId="9" r:id="rId7"/>
    <sheet name="Wiring" sheetId="10" r:id="rId8"/>
    <sheet name="Hybrids" sheetId="12" r:id="rId9"/>
    <sheet name="Radiation" sheetId="5" r:id="rId10"/>
  </sheets>
  <definedNames>
    <definedName name="_xlnm._FilterDatabase" localSheetId="0" hidden="1">Consumption!$A$2:$P$94</definedName>
    <definedName name="_xlnm.Print_Area" localSheetId="2">Battery!$B$2:$N$29</definedName>
    <definedName name="_xlnm.Print_Area" localSheetId="0">Consumption!$B$2:$M$36</definedName>
    <definedName name="_xlnm.Print_Area" localSheetId="8">Hybrids!$C$2:$S$41</definedName>
    <definedName name="_xlnm.Print_Area" localSheetId="1">'Inclination angle'!$A$2:$V$45</definedName>
    <definedName name="_xlnm.Print_Area" localSheetId="4">'Load Reg.'!$A$2:$P$33</definedName>
    <definedName name="_xlnm.Print_Area" localSheetId="6">Protection!$A$2:$R$50</definedName>
    <definedName name="_xlnm.Print_Area" localSheetId="3">PV!$A$2:$P$41</definedName>
  </definedNames>
  <calcPr calcId="145621"/>
</workbook>
</file>

<file path=xl/calcChain.xml><?xml version="1.0" encoding="utf-8"?>
<calcChain xmlns="http://schemas.openxmlformats.org/spreadsheetml/2006/main">
  <c r="C5" i="5" l="1"/>
  <c r="P21" i="10"/>
  <c r="P20" i="10"/>
  <c r="P19" i="10"/>
  <c r="P18" i="10"/>
  <c r="P16" i="10"/>
  <c r="P13" i="10"/>
  <c r="O21" i="10"/>
  <c r="O20" i="10"/>
  <c r="O19" i="10"/>
  <c r="O18" i="10"/>
  <c r="O16" i="10"/>
  <c r="O14" i="10"/>
  <c r="O13" i="10"/>
  <c r="O11" i="10"/>
  <c r="H20" i="3"/>
  <c r="I10" i="7" l="1"/>
  <c r="F15" i="2"/>
  <c r="O287" i="5" l="1"/>
  <c r="O286" i="5"/>
  <c r="O285" i="5"/>
  <c r="U12" i="8" l="1"/>
  <c r="U20" i="3"/>
  <c r="S22" i="4"/>
  <c r="T21" i="4" s="1"/>
  <c r="D34" i="9"/>
  <c r="D37" i="9"/>
  <c r="K18" i="8"/>
  <c r="C21" i="9"/>
  <c r="E26" i="9"/>
  <c r="D16" i="10" s="1"/>
  <c r="V97" i="12" l="1"/>
  <c r="J21" i="10"/>
  <c r="J20" i="10"/>
  <c r="J19" i="10"/>
  <c r="H21" i="10"/>
  <c r="H20" i="10"/>
  <c r="H19" i="10"/>
  <c r="H18" i="10"/>
  <c r="E21" i="9"/>
  <c r="E13" i="10"/>
  <c r="I17" i="2" l="1"/>
  <c r="I18" i="2"/>
  <c r="I19" i="2"/>
  <c r="I20" i="2"/>
  <c r="I21" i="2"/>
  <c r="I22" i="2"/>
  <c r="I23" i="2"/>
  <c r="I24" i="2"/>
  <c r="I25" i="2"/>
  <c r="I26" i="2"/>
  <c r="I27" i="2"/>
  <c r="I16" i="2"/>
  <c r="F22" i="4"/>
  <c r="E22" i="4"/>
  <c r="F34" i="1"/>
  <c r="K17" i="2"/>
  <c r="K18" i="2"/>
  <c r="K19" i="2"/>
  <c r="K20" i="2"/>
  <c r="K21" i="2"/>
  <c r="K22" i="2"/>
  <c r="K23" i="2"/>
  <c r="K24" i="2"/>
  <c r="K25" i="2"/>
  <c r="K26" i="2"/>
  <c r="K27" i="2"/>
  <c r="K16" i="2"/>
  <c r="AL28" i="2"/>
  <c r="AL29" i="2"/>
  <c r="AL30" i="2"/>
  <c r="AL31" i="2"/>
  <c r="AL27" i="2"/>
  <c r="C27" i="3"/>
  <c r="E27" i="3" s="1"/>
  <c r="I24" i="3"/>
  <c r="N248" i="5"/>
  <c r="N249" i="5" s="1"/>
  <c r="M248" i="5"/>
  <c r="M249" i="5"/>
  <c r="L248" i="5"/>
  <c r="L249" i="5" s="1"/>
  <c r="K248" i="5"/>
  <c r="K249" i="5"/>
  <c r="J248" i="5"/>
  <c r="J249" i="5" s="1"/>
  <c r="I248" i="5"/>
  <c r="I249" i="5"/>
  <c r="H248" i="5"/>
  <c r="H249" i="5" s="1"/>
  <c r="G248" i="5"/>
  <c r="G249" i="5"/>
  <c r="F248" i="5"/>
  <c r="F249" i="5" s="1"/>
  <c r="E248" i="5"/>
  <c r="E249" i="5"/>
  <c r="D248" i="5"/>
  <c r="D249" i="5" s="1"/>
  <c r="C248" i="5"/>
  <c r="C249" i="5"/>
  <c r="N231" i="5"/>
  <c r="N251" i="5" s="1"/>
  <c r="M231" i="5"/>
  <c r="M251" i="5"/>
  <c r="L231" i="5"/>
  <c r="L251" i="5" s="1"/>
  <c r="K231" i="5"/>
  <c r="K251" i="5"/>
  <c r="J231" i="5"/>
  <c r="J251" i="5" s="1"/>
  <c r="I231" i="5"/>
  <c r="I251" i="5"/>
  <c r="H231" i="5"/>
  <c r="H251" i="5" s="1"/>
  <c r="G231" i="5"/>
  <c r="G251" i="5"/>
  <c r="F231" i="5"/>
  <c r="F251" i="5" s="1"/>
  <c r="E231" i="5"/>
  <c r="E251" i="5"/>
  <c r="D231" i="5"/>
  <c r="D251" i="5" s="1"/>
  <c r="C231" i="5"/>
  <c r="C251" i="5"/>
  <c r="T19" i="2"/>
  <c r="D76" i="5" s="1"/>
  <c r="D77" i="5" s="1"/>
  <c r="D79" i="5" s="1"/>
  <c r="X27" i="2"/>
  <c r="X28" i="2"/>
  <c r="X29" i="2"/>
  <c r="X30" i="2"/>
  <c r="X31" i="2"/>
  <c r="L5" i="12"/>
  <c r="E5" i="12"/>
  <c r="L3" i="12"/>
  <c r="E3" i="12"/>
  <c r="G12" i="1"/>
  <c r="L12" i="1" s="1"/>
  <c r="G13" i="1"/>
  <c r="L13" i="1" s="1"/>
  <c r="G21" i="1"/>
  <c r="L21" i="1" s="1"/>
  <c r="G22" i="1"/>
  <c r="L22" i="1" s="1"/>
  <c r="AE27" i="2"/>
  <c r="AE28" i="2"/>
  <c r="AE29" i="2"/>
  <c r="AE30" i="2"/>
  <c r="AE31" i="2"/>
  <c r="G30" i="12"/>
  <c r="H30" i="12" s="1"/>
  <c r="I30" i="12" s="1"/>
  <c r="F10" i="12"/>
  <c r="G29" i="12"/>
  <c r="H29" i="12" s="1"/>
  <c r="I29" i="12" s="1"/>
  <c r="G31" i="12"/>
  <c r="H31" i="12" s="1"/>
  <c r="I31" i="12" s="1"/>
  <c r="G32" i="12"/>
  <c r="H32" i="12" s="1"/>
  <c r="I32" i="12" s="1"/>
  <c r="G33" i="12"/>
  <c r="H33" i="12" s="1"/>
  <c r="I33" i="12" s="1"/>
  <c r="G34" i="12"/>
  <c r="H34" i="12"/>
  <c r="I34" i="12" s="1"/>
  <c r="G35" i="12"/>
  <c r="H35" i="12" s="1"/>
  <c r="I35" i="12" s="1"/>
  <c r="G36" i="12"/>
  <c r="H36" i="12" s="1"/>
  <c r="I36" i="12" s="1"/>
  <c r="G37" i="12"/>
  <c r="H37" i="12" s="1"/>
  <c r="I37" i="12" s="1"/>
  <c r="G38" i="12"/>
  <c r="H38" i="12"/>
  <c r="I38" i="12" s="1"/>
  <c r="G39" i="12"/>
  <c r="H39" i="12" s="1"/>
  <c r="I39" i="12" s="1"/>
  <c r="G40" i="12"/>
  <c r="H40" i="12" s="1"/>
  <c r="I40" i="12" s="1"/>
  <c r="N21" i="10"/>
  <c r="A4" i="5"/>
  <c r="A5" i="5"/>
  <c r="A6" i="5" s="1"/>
  <c r="C75" i="5"/>
  <c r="C90" i="5" s="1"/>
  <c r="C96" i="5" s="1"/>
  <c r="C95" i="5"/>
  <c r="C92" i="5"/>
  <c r="C93" i="5" s="1"/>
  <c r="D75" i="5"/>
  <c r="D90" i="5" s="1"/>
  <c r="D96" i="5" s="1"/>
  <c r="D95" i="5"/>
  <c r="D92" i="5"/>
  <c r="D93" i="5" s="1"/>
  <c r="E75" i="5"/>
  <c r="E90" i="5" s="1"/>
  <c r="E96" i="5" s="1"/>
  <c r="E95" i="5"/>
  <c r="E92" i="5"/>
  <c r="E93" i="5" s="1"/>
  <c r="F75" i="5"/>
  <c r="F90" i="5" s="1"/>
  <c r="F96" i="5" s="1"/>
  <c r="F95" i="5"/>
  <c r="F92" i="5"/>
  <c r="F93" i="5" s="1"/>
  <c r="G75" i="5"/>
  <c r="G90" i="5" s="1"/>
  <c r="G96" i="5" s="1"/>
  <c r="G95" i="5"/>
  <c r="G92" i="5"/>
  <c r="G93" i="5" s="1"/>
  <c r="H75" i="5"/>
  <c r="H90" i="5" s="1"/>
  <c r="H96" i="5" s="1"/>
  <c r="H95" i="5"/>
  <c r="H92" i="5"/>
  <c r="H93" i="5" s="1"/>
  <c r="I75" i="5"/>
  <c r="I90" i="5" s="1"/>
  <c r="I96" i="5" s="1"/>
  <c r="I95" i="5"/>
  <c r="I92" i="5"/>
  <c r="I93" i="5" s="1"/>
  <c r="J75" i="5"/>
  <c r="J90" i="5" s="1"/>
  <c r="J96" i="5" s="1"/>
  <c r="J95" i="5"/>
  <c r="J92" i="5"/>
  <c r="J93" i="5" s="1"/>
  <c r="K75" i="5"/>
  <c r="K90" i="5" s="1"/>
  <c r="K96" i="5" s="1"/>
  <c r="K95" i="5"/>
  <c r="K92" i="5"/>
  <c r="K93" i="5" s="1"/>
  <c r="L75" i="5"/>
  <c r="L90" i="5" s="1"/>
  <c r="L96" i="5" s="1"/>
  <c r="L95" i="5"/>
  <c r="L92" i="5"/>
  <c r="L93" i="5" s="1"/>
  <c r="M75" i="5"/>
  <c r="M90" i="5" s="1"/>
  <c r="M96" i="5" s="1"/>
  <c r="M95" i="5"/>
  <c r="M92" i="5"/>
  <c r="M93" i="5" s="1"/>
  <c r="N75" i="5"/>
  <c r="N90" i="5" s="1"/>
  <c r="N96" i="5" s="1"/>
  <c r="N95" i="5"/>
  <c r="N92" i="5"/>
  <c r="N93" i="5" s="1"/>
  <c r="C128" i="5"/>
  <c r="C143" i="5" s="1"/>
  <c r="C149" i="5" s="1"/>
  <c r="C148" i="5"/>
  <c r="C145" i="5"/>
  <c r="C146" i="5" s="1"/>
  <c r="D128" i="5"/>
  <c r="D143" i="5" s="1"/>
  <c r="D145" i="5"/>
  <c r="D146" i="5" s="1"/>
  <c r="E128" i="5"/>
  <c r="E143" i="5" s="1"/>
  <c r="E145" i="5"/>
  <c r="E146" i="5" s="1"/>
  <c r="F128" i="5"/>
  <c r="F143" i="5" s="1"/>
  <c r="F145" i="5"/>
  <c r="F146" i="5" s="1"/>
  <c r="G128" i="5"/>
  <c r="G143" i="5" s="1"/>
  <c r="G145" i="5"/>
  <c r="G146" i="5" s="1"/>
  <c r="H128" i="5"/>
  <c r="H143" i="5" s="1"/>
  <c r="H149" i="5" s="1"/>
  <c r="H148" i="5"/>
  <c r="H145" i="5"/>
  <c r="H146" i="5" s="1"/>
  <c r="I128" i="5"/>
  <c r="I143" i="5" s="1"/>
  <c r="I149" i="5" s="1"/>
  <c r="I148" i="5"/>
  <c r="I145" i="5"/>
  <c r="I146" i="5" s="1"/>
  <c r="J128" i="5"/>
  <c r="J143" i="5" s="1"/>
  <c r="J145" i="5"/>
  <c r="J146" i="5" s="1"/>
  <c r="K128" i="5"/>
  <c r="K143" i="5" s="1"/>
  <c r="K145" i="5"/>
  <c r="K146" i="5" s="1"/>
  <c r="L128" i="5"/>
  <c r="L143" i="5" s="1"/>
  <c r="L145" i="5"/>
  <c r="L146" i="5" s="1"/>
  <c r="M128" i="5"/>
  <c r="M143" i="5" s="1"/>
  <c r="M145" i="5"/>
  <c r="M146" i="5" s="1"/>
  <c r="N128" i="5"/>
  <c r="N143" i="5" s="1"/>
  <c r="N145" i="5"/>
  <c r="N146" i="5" s="1"/>
  <c r="C181" i="5"/>
  <c r="C201" i="5" s="1"/>
  <c r="C198" i="5"/>
  <c r="C199" i="5" s="1"/>
  <c r="D181" i="5"/>
  <c r="D201" i="5" s="1"/>
  <c r="D198" i="5"/>
  <c r="D199" i="5" s="1"/>
  <c r="E181" i="5"/>
  <c r="E201" i="5" s="1"/>
  <c r="E198" i="5"/>
  <c r="E199" i="5" s="1"/>
  <c r="F181" i="5"/>
  <c r="F201" i="5" s="1"/>
  <c r="F198" i="5"/>
  <c r="F199" i="5" s="1"/>
  <c r="G181" i="5"/>
  <c r="G201" i="5" s="1"/>
  <c r="G198" i="5"/>
  <c r="G199" i="5" s="1"/>
  <c r="H181" i="5"/>
  <c r="H201" i="5" s="1"/>
  <c r="H198" i="5"/>
  <c r="H199" i="5" s="1"/>
  <c r="I181" i="5"/>
  <c r="I201" i="5" s="1"/>
  <c r="I198" i="5"/>
  <c r="I199" i="5" s="1"/>
  <c r="J181" i="5"/>
  <c r="J201" i="5" s="1"/>
  <c r="J198" i="5"/>
  <c r="J199" i="5" s="1"/>
  <c r="K181" i="5"/>
  <c r="K201" i="5" s="1"/>
  <c r="K198" i="5"/>
  <c r="K199" i="5" s="1"/>
  <c r="L181" i="5"/>
  <c r="L201" i="5" s="1"/>
  <c r="L198" i="5"/>
  <c r="L199" i="5" s="1"/>
  <c r="M181" i="5"/>
  <c r="M201" i="5" s="1"/>
  <c r="M198" i="5"/>
  <c r="M199" i="5" s="1"/>
  <c r="N181" i="5"/>
  <c r="N201" i="5" s="1"/>
  <c r="N198" i="5"/>
  <c r="N199" i="5" s="1"/>
  <c r="I20" i="3"/>
  <c r="D27" i="3" s="1"/>
  <c r="F20" i="3"/>
  <c r="G20" i="3"/>
  <c r="F27" i="3"/>
  <c r="N20" i="10"/>
  <c r="N19" i="10"/>
  <c r="G38" i="9"/>
  <c r="G37" i="9"/>
  <c r="G35" i="9"/>
  <c r="G34" i="9"/>
  <c r="D40" i="9"/>
  <c r="G40" i="9" s="1"/>
  <c r="G41" i="9"/>
  <c r="G32" i="9"/>
  <c r="D31" i="9"/>
  <c r="G31" i="9"/>
  <c r="N18" i="10"/>
  <c r="A7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G23" i="1"/>
  <c r="L23" i="1" s="1"/>
  <c r="C89" i="5"/>
  <c r="G24" i="1"/>
  <c r="L24" i="1" s="1"/>
  <c r="U11" i="12"/>
  <c r="V11" i="12" s="1"/>
  <c r="K10" i="12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5" i="1"/>
  <c r="L25" i="1" s="1"/>
  <c r="G26" i="1"/>
  <c r="L26" i="1" s="1"/>
  <c r="G27" i="1"/>
  <c r="L27" i="1" s="1"/>
  <c r="G28" i="1"/>
  <c r="L28" i="1" s="1"/>
  <c r="G29" i="1"/>
  <c r="L29" i="1" s="1"/>
  <c r="L22" i="4"/>
  <c r="J5" i="9"/>
  <c r="J3" i="9"/>
  <c r="I5" i="8"/>
  <c r="I3" i="8"/>
  <c r="J5" i="7"/>
  <c r="J3" i="7"/>
  <c r="J5" i="4"/>
  <c r="J3" i="4"/>
  <c r="K5" i="3"/>
  <c r="K3" i="3"/>
  <c r="P6" i="2"/>
  <c r="P4" i="2"/>
  <c r="O284" i="5"/>
  <c r="G19" i="4"/>
  <c r="G24" i="3"/>
  <c r="N11" i="10"/>
  <c r="N16" i="10"/>
  <c r="N12" i="10"/>
  <c r="O12" i="10" s="1"/>
  <c r="N13" i="10"/>
  <c r="N14" i="10"/>
  <c r="D21" i="9"/>
  <c r="G21" i="9" s="1"/>
  <c r="J5" i="10"/>
  <c r="J3" i="10"/>
  <c r="D5" i="10"/>
  <c r="D3" i="10"/>
  <c r="D5" i="9"/>
  <c r="D3" i="9"/>
  <c r="G27" i="9"/>
  <c r="G22" i="9"/>
  <c r="D5" i="8"/>
  <c r="D3" i="8"/>
  <c r="E5" i="7"/>
  <c r="E3" i="7"/>
  <c r="N195" i="5"/>
  <c r="M195" i="5"/>
  <c r="L195" i="5"/>
  <c r="K195" i="5"/>
  <c r="J195" i="5"/>
  <c r="I195" i="5"/>
  <c r="H195" i="5"/>
  <c r="G195" i="5"/>
  <c r="F195" i="5"/>
  <c r="E195" i="5"/>
  <c r="D195" i="5"/>
  <c r="C195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N89" i="5"/>
  <c r="M89" i="5"/>
  <c r="L89" i="5"/>
  <c r="K89" i="5"/>
  <c r="J89" i="5"/>
  <c r="I89" i="5"/>
  <c r="H89" i="5"/>
  <c r="G89" i="5"/>
  <c r="F89" i="5"/>
  <c r="E89" i="5"/>
  <c r="D89" i="5"/>
  <c r="E5" i="4"/>
  <c r="E3" i="4"/>
  <c r="F5" i="3"/>
  <c r="F3" i="3"/>
  <c r="F6" i="2"/>
  <c r="F4" i="2"/>
  <c r="C109" i="5"/>
  <c r="S9" i="2"/>
  <c r="P19" i="2" s="1"/>
  <c r="D109" i="5"/>
  <c r="E109" i="5"/>
  <c r="F109" i="5"/>
  <c r="G109" i="5"/>
  <c r="H109" i="5"/>
  <c r="I109" i="5"/>
  <c r="J109" i="5"/>
  <c r="K109" i="5"/>
  <c r="L109" i="5"/>
  <c r="M109" i="5"/>
  <c r="N109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C80" i="5"/>
  <c r="C81" i="5" s="1"/>
  <c r="C82" i="5" s="1"/>
  <c r="C133" i="5"/>
  <c r="C134" i="5" s="1"/>
  <c r="C186" i="5"/>
  <c r="C187" i="5" s="1"/>
  <c r="C188" i="5" s="1"/>
  <c r="C245" i="5"/>
  <c r="D245" i="5"/>
  <c r="E245" i="5"/>
  <c r="F245" i="5"/>
  <c r="G245" i="5"/>
  <c r="H245" i="5"/>
  <c r="I245" i="5"/>
  <c r="J245" i="5"/>
  <c r="K245" i="5"/>
  <c r="L245" i="5"/>
  <c r="M245" i="5"/>
  <c r="N245" i="5"/>
  <c r="C246" i="5"/>
  <c r="C252" i="5"/>
  <c r="C254" i="5" s="1"/>
  <c r="D246" i="5"/>
  <c r="D252" i="5"/>
  <c r="D254" i="5" s="1"/>
  <c r="E246" i="5"/>
  <c r="E252" i="5"/>
  <c r="E254" i="5" s="1"/>
  <c r="F246" i="5"/>
  <c r="F252" i="5"/>
  <c r="F254" i="5" s="1"/>
  <c r="G246" i="5"/>
  <c r="G252" i="5"/>
  <c r="G254" i="5" s="1"/>
  <c r="H246" i="5"/>
  <c r="H252" i="5"/>
  <c r="H254" i="5" s="1"/>
  <c r="I246" i="5"/>
  <c r="I252" i="5"/>
  <c r="I254" i="5" s="1"/>
  <c r="J246" i="5"/>
  <c r="J252" i="5"/>
  <c r="J254" i="5" s="1"/>
  <c r="K246" i="5"/>
  <c r="K252" i="5"/>
  <c r="K254" i="5" s="1"/>
  <c r="L246" i="5"/>
  <c r="L252" i="5"/>
  <c r="L254" i="5" s="1"/>
  <c r="M246" i="5"/>
  <c r="M252" i="5"/>
  <c r="M254" i="5" s="1"/>
  <c r="N246" i="5"/>
  <c r="N252" i="5"/>
  <c r="N254" i="5" s="1"/>
  <c r="N253" i="5"/>
  <c r="M253" i="5"/>
  <c r="L253" i="5"/>
  <c r="K253" i="5"/>
  <c r="J253" i="5"/>
  <c r="I253" i="5"/>
  <c r="H253" i="5"/>
  <c r="G253" i="5"/>
  <c r="F253" i="5"/>
  <c r="E253" i="5"/>
  <c r="D253" i="5"/>
  <c r="C253" i="5"/>
  <c r="H32" i="9" l="1"/>
  <c r="D133" i="5"/>
  <c r="D134" i="5" s="1"/>
  <c r="D135" i="5" s="1"/>
  <c r="L30" i="1"/>
  <c r="C236" i="5"/>
  <c r="C137" i="5"/>
  <c r="C152" i="5" s="1"/>
  <c r="C153" i="5" s="1"/>
  <c r="C154" i="5" s="1"/>
  <c r="C155" i="5" s="1"/>
  <c r="C135" i="5"/>
  <c r="C136" i="5"/>
  <c r="D80" i="5"/>
  <c r="D81" i="5" s="1"/>
  <c r="D82" i="5" s="1"/>
  <c r="J76" i="5"/>
  <c r="J77" i="5" s="1"/>
  <c r="J78" i="5" s="1"/>
  <c r="N76" i="5"/>
  <c r="N77" i="5" s="1"/>
  <c r="N79" i="5" s="1"/>
  <c r="F76" i="5"/>
  <c r="F77" i="5" s="1"/>
  <c r="F78" i="5" s="1"/>
  <c r="H76" i="5"/>
  <c r="H77" i="5" s="1"/>
  <c r="H79" i="5" s="1"/>
  <c r="L76" i="5"/>
  <c r="L77" i="5" s="1"/>
  <c r="L79" i="5" s="1"/>
  <c r="E76" i="5"/>
  <c r="E77" i="5" s="1"/>
  <c r="E78" i="5" s="1"/>
  <c r="I76" i="5"/>
  <c r="I77" i="5" s="1"/>
  <c r="I78" i="5" s="1"/>
  <c r="M76" i="5"/>
  <c r="M77" i="5" s="1"/>
  <c r="M78" i="5" s="1"/>
  <c r="G76" i="5"/>
  <c r="G77" i="5" s="1"/>
  <c r="G78" i="5" s="1"/>
  <c r="K76" i="5"/>
  <c r="K77" i="5" s="1"/>
  <c r="K79" i="5" s="1"/>
  <c r="C76" i="5"/>
  <c r="C77" i="5" s="1"/>
  <c r="C79" i="5" s="1"/>
  <c r="D78" i="5"/>
  <c r="G30" i="1"/>
  <c r="G34" i="1" s="1"/>
  <c r="E34" i="1"/>
  <c r="C26" i="9" s="1"/>
  <c r="H21" i="9"/>
  <c r="U11" i="8"/>
  <c r="G27" i="3"/>
  <c r="H22" i="8" s="1"/>
  <c r="C84" i="5"/>
  <c r="C99" i="5" s="1"/>
  <c r="C100" i="5" s="1"/>
  <c r="C101" i="5" s="1"/>
  <c r="C102" i="5" s="1"/>
  <c r="C83" i="5"/>
  <c r="D186" i="5"/>
  <c r="H40" i="9"/>
  <c r="C190" i="5"/>
  <c r="C205" i="5" s="1"/>
  <c r="C206" i="5" s="1"/>
  <c r="C207" i="5" s="1"/>
  <c r="C208" i="5" s="1"/>
  <c r="C189" i="5"/>
  <c r="H22" i="9"/>
  <c r="D34" i="1"/>
  <c r="H41" i="9"/>
  <c r="H34" i="9"/>
  <c r="H37" i="9"/>
  <c r="N196" i="5"/>
  <c r="N202" i="5" s="1"/>
  <c r="M196" i="5"/>
  <c r="M202" i="5" s="1"/>
  <c r="L196" i="5"/>
  <c r="L202" i="5" s="1"/>
  <c r="K196" i="5"/>
  <c r="K202" i="5" s="1"/>
  <c r="J196" i="5"/>
  <c r="J202" i="5" s="1"/>
  <c r="I196" i="5"/>
  <c r="I202" i="5" s="1"/>
  <c r="H196" i="5"/>
  <c r="H202" i="5" s="1"/>
  <c r="G196" i="5"/>
  <c r="G202" i="5" s="1"/>
  <c r="F196" i="5"/>
  <c r="F202" i="5" s="1"/>
  <c r="E196" i="5"/>
  <c r="E202" i="5" s="1"/>
  <c r="D196" i="5"/>
  <c r="D202" i="5" s="1"/>
  <c r="C196" i="5"/>
  <c r="C202" i="5" s="1"/>
  <c r="C151" i="5"/>
  <c r="C150" i="5"/>
  <c r="K98" i="5"/>
  <c r="K97" i="5"/>
  <c r="G98" i="5"/>
  <c r="G97" i="5"/>
  <c r="C98" i="5"/>
  <c r="C97" i="5"/>
  <c r="H151" i="5"/>
  <c r="H150" i="5"/>
  <c r="F149" i="5"/>
  <c r="L98" i="5"/>
  <c r="L97" i="5"/>
  <c r="H98" i="5"/>
  <c r="H97" i="5"/>
  <c r="D98" i="5"/>
  <c r="D97" i="5"/>
  <c r="H27" i="9"/>
  <c r="H31" i="9"/>
  <c r="H35" i="9"/>
  <c r="H38" i="9"/>
  <c r="I151" i="5"/>
  <c r="I150" i="5"/>
  <c r="M98" i="5"/>
  <c r="M97" i="5"/>
  <c r="I98" i="5"/>
  <c r="I97" i="5"/>
  <c r="E98" i="5"/>
  <c r="E97" i="5"/>
  <c r="L149" i="5"/>
  <c r="N98" i="5"/>
  <c r="N97" i="5"/>
  <c r="J98" i="5"/>
  <c r="J97" i="5"/>
  <c r="F98" i="5"/>
  <c r="F97" i="5"/>
  <c r="N148" i="5"/>
  <c r="M148" i="5"/>
  <c r="L148" i="5"/>
  <c r="K148" i="5"/>
  <c r="K149" i="5" s="1"/>
  <c r="J148" i="5"/>
  <c r="J149" i="5" s="1"/>
  <c r="G148" i="5"/>
  <c r="F148" i="5"/>
  <c r="E148" i="5"/>
  <c r="E149" i="5" s="1"/>
  <c r="D148" i="5"/>
  <c r="T15" i="2"/>
  <c r="AN25" i="2" s="1"/>
  <c r="P15" i="2"/>
  <c r="Z25" i="2" s="1"/>
  <c r="AG25" i="2"/>
  <c r="G23" i="7"/>
  <c r="D14" i="10"/>
  <c r="D13" i="10"/>
  <c r="D12" i="10"/>
  <c r="D11" i="10"/>
  <c r="E18" i="9"/>
  <c r="E17" i="9"/>
  <c r="E16" i="9"/>
  <c r="G17" i="9" s="1"/>
  <c r="C22" i="4"/>
  <c r="I22" i="4" s="1"/>
  <c r="F24" i="3"/>
  <c r="H24" i="3" s="1"/>
  <c r="J24" i="3" s="1"/>
  <c r="R21" i="4"/>
  <c r="H22" i="4"/>
  <c r="E11" i="9" s="1"/>
  <c r="G12" i="9" s="1"/>
  <c r="T13" i="7"/>
  <c r="N265" i="5"/>
  <c r="D27" i="7"/>
  <c r="C265" i="5"/>
  <c r="D265" i="5"/>
  <c r="E265" i="5"/>
  <c r="F265" i="5"/>
  <c r="G265" i="5"/>
  <c r="H265" i="5"/>
  <c r="I265" i="5"/>
  <c r="J265" i="5"/>
  <c r="K265" i="5"/>
  <c r="L265" i="5"/>
  <c r="M265" i="5"/>
  <c r="E133" i="5" l="1"/>
  <c r="D137" i="5"/>
  <c r="D136" i="5"/>
  <c r="M22" i="4"/>
  <c r="N22" i="4" s="1"/>
  <c r="C160" i="5"/>
  <c r="C161" i="5" s="1"/>
  <c r="C163" i="5" s="1"/>
  <c r="C164" i="5" s="1"/>
  <c r="D117" i="5"/>
  <c r="D84" i="5"/>
  <c r="D99" i="5" s="1"/>
  <c r="D100" i="5" s="1"/>
  <c r="D101" i="5" s="1"/>
  <c r="D102" i="5" s="1"/>
  <c r="E79" i="5"/>
  <c r="D83" i="5"/>
  <c r="E80" i="5"/>
  <c r="F80" i="5" s="1"/>
  <c r="C166" i="5"/>
  <c r="F79" i="5"/>
  <c r="D236" i="5"/>
  <c r="C237" i="5"/>
  <c r="D85" i="5"/>
  <c r="D88" i="5" s="1"/>
  <c r="D103" i="5" s="1"/>
  <c r="D104" i="5" s="1"/>
  <c r="D105" i="5" s="1"/>
  <c r="D106" i="5" s="1"/>
  <c r="J79" i="5"/>
  <c r="G79" i="5"/>
  <c r="N78" i="5"/>
  <c r="K78" i="5"/>
  <c r="M79" i="5"/>
  <c r="C78" i="5"/>
  <c r="C85" i="5"/>
  <c r="C86" i="5" s="1"/>
  <c r="H78" i="5"/>
  <c r="I79" i="5"/>
  <c r="C117" i="5"/>
  <c r="C118" i="5" s="1"/>
  <c r="C119" i="5" s="1"/>
  <c r="C120" i="5" s="1"/>
  <c r="C121" i="5" s="1"/>
  <c r="L78" i="5"/>
  <c r="I19" i="4"/>
  <c r="H34" i="1"/>
  <c r="K34" i="1" s="1"/>
  <c r="F18" i="2" s="1"/>
  <c r="J31" i="12" s="1"/>
  <c r="E151" i="5"/>
  <c r="E150" i="5"/>
  <c r="K151" i="5"/>
  <c r="K150" i="5"/>
  <c r="J151" i="5"/>
  <c r="J150" i="5"/>
  <c r="E203" i="5"/>
  <c r="E204" i="5"/>
  <c r="I203" i="5"/>
  <c r="I204" i="5"/>
  <c r="M203" i="5"/>
  <c r="M204" i="5"/>
  <c r="L151" i="5"/>
  <c r="L150" i="5"/>
  <c r="F203" i="5"/>
  <c r="F204" i="5"/>
  <c r="J203" i="5"/>
  <c r="J204" i="5"/>
  <c r="N203" i="5"/>
  <c r="N204" i="5"/>
  <c r="C113" i="5"/>
  <c r="D152" i="5"/>
  <c r="D153" i="5" s="1"/>
  <c r="D154" i="5" s="1"/>
  <c r="D155" i="5" s="1"/>
  <c r="N149" i="5"/>
  <c r="D149" i="5"/>
  <c r="C203" i="5"/>
  <c r="C204" i="5"/>
  <c r="C219" i="5" s="1"/>
  <c r="G203" i="5"/>
  <c r="G204" i="5"/>
  <c r="K203" i="5"/>
  <c r="K204" i="5"/>
  <c r="D187" i="5"/>
  <c r="E186" i="5"/>
  <c r="C107" i="5"/>
  <c r="C108" i="5" s="1"/>
  <c r="C110" i="5" s="1"/>
  <c r="G149" i="5"/>
  <c r="F151" i="5"/>
  <c r="F150" i="5"/>
  <c r="M149" i="5"/>
  <c r="D203" i="5"/>
  <c r="D204" i="5"/>
  <c r="H203" i="5"/>
  <c r="H204" i="5"/>
  <c r="L203" i="5"/>
  <c r="L204" i="5"/>
  <c r="E81" i="5"/>
  <c r="E134" i="5"/>
  <c r="F133" i="5"/>
  <c r="D182" i="5"/>
  <c r="D183" i="5" s="1"/>
  <c r="C182" i="5"/>
  <c r="C183" i="5" s="1"/>
  <c r="N182" i="5"/>
  <c r="N183" i="5" s="1"/>
  <c r="M182" i="5"/>
  <c r="M183" i="5" s="1"/>
  <c r="L182" i="5"/>
  <c r="L183" i="5" s="1"/>
  <c r="K182" i="5"/>
  <c r="K183" i="5" s="1"/>
  <c r="J182" i="5"/>
  <c r="J183" i="5" s="1"/>
  <c r="I182" i="5"/>
  <c r="I183" i="5" s="1"/>
  <c r="H182" i="5"/>
  <c r="H183" i="5" s="1"/>
  <c r="G182" i="5"/>
  <c r="G183" i="5" s="1"/>
  <c r="F182" i="5"/>
  <c r="F183" i="5" s="1"/>
  <c r="E182" i="5"/>
  <c r="E183" i="5" s="1"/>
  <c r="D129" i="5"/>
  <c r="C129" i="5"/>
  <c r="N129" i="5"/>
  <c r="M129" i="5"/>
  <c r="L129" i="5"/>
  <c r="K129" i="5"/>
  <c r="J129" i="5"/>
  <c r="I129" i="5"/>
  <c r="H129" i="5"/>
  <c r="G129" i="5"/>
  <c r="F129" i="5"/>
  <c r="E129" i="5"/>
  <c r="D232" i="5"/>
  <c r="C232" i="5"/>
  <c r="N232" i="5"/>
  <c r="M232" i="5"/>
  <c r="L232" i="5"/>
  <c r="K232" i="5"/>
  <c r="J232" i="5"/>
  <c r="I232" i="5"/>
  <c r="H232" i="5"/>
  <c r="G232" i="5"/>
  <c r="F232" i="5"/>
  <c r="E232" i="5"/>
  <c r="D16" i="8"/>
  <c r="H18" i="8" s="1"/>
  <c r="D26" i="9"/>
  <c r="J22" i="4"/>
  <c r="H17" i="9"/>
  <c r="H13" i="10"/>
  <c r="J13" i="10"/>
  <c r="H12" i="9"/>
  <c r="D191" i="5"/>
  <c r="D113" i="5" l="1"/>
  <c r="D107" i="5"/>
  <c r="D108" i="5" s="1"/>
  <c r="D110" i="5" s="1"/>
  <c r="D86" i="5"/>
  <c r="D118" i="5"/>
  <c r="D119" i="5" s="1"/>
  <c r="D120" i="5" s="1"/>
  <c r="D121" i="5" s="1"/>
  <c r="C165" i="5"/>
  <c r="C191" i="5"/>
  <c r="E191" i="5"/>
  <c r="E85" i="5"/>
  <c r="E86" i="5" s="1"/>
  <c r="C240" i="5"/>
  <c r="C255" i="5" s="1"/>
  <c r="C256" i="5" s="1"/>
  <c r="C257" i="5" s="1"/>
  <c r="C258" i="5" s="1"/>
  <c r="C239" i="5"/>
  <c r="C238" i="5"/>
  <c r="D237" i="5"/>
  <c r="E236" i="5"/>
  <c r="E241" i="5" s="1"/>
  <c r="D87" i="5"/>
  <c r="C87" i="5"/>
  <c r="C88" i="5"/>
  <c r="C103" i="5" s="1"/>
  <c r="C104" i="5" s="1"/>
  <c r="C105" i="5" s="1"/>
  <c r="C106" i="5" s="1"/>
  <c r="F19" i="2"/>
  <c r="J32" i="12" s="1"/>
  <c r="F20" i="2"/>
  <c r="J33" i="12" s="1"/>
  <c r="F23" i="2"/>
  <c r="J36" i="12" s="1"/>
  <c r="F21" i="2"/>
  <c r="J34" i="12" s="1"/>
  <c r="F27" i="2"/>
  <c r="J40" i="12" s="1"/>
  <c r="F24" i="2"/>
  <c r="J37" i="12" s="1"/>
  <c r="F22" i="2"/>
  <c r="J35" i="12" s="1"/>
  <c r="F17" i="2"/>
  <c r="J30" i="12" s="1"/>
  <c r="F25" i="2"/>
  <c r="J38" i="12" s="1"/>
  <c r="F16" i="2"/>
  <c r="F26" i="2"/>
  <c r="J39" i="12" s="1"/>
  <c r="E82" i="5"/>
  <c r="E117" i="5" s="1"/>
  <c r="E83" i="5"/>
  <c r="E84" i="5"/>
  <c r="E99" i="5" s="1"/>
  <c r="E100" i="5" s="1"/>
  <c r="E101" i="5" s="1"/>
  <c r="E102" i="5" s="1"/>
  <c r="E135" i="5"/>
  <c r="E137" i="5"/>
  <c r="E152" i="5" s="1"/>
  <c r="E153" i="5" s="1"/>
  <c r="E154" i="5" s="1"/>
  <c r="E155" i="5" s="1"/>
  <c r="E136" i="5"/>
  <c r="M151" i="5"/>
  <c r="M150" i="5"/>
  <c r="E187" i="5"/>
  <c r="F186" i="5"/>
  <c r="D151" i="5"/>
  <c r="D150" i="5"/>
  <c r="D160" i="5" s="1"/>
  <c r="D161" i="5" s="1"/>
  <c r="D163" i="5" s="1"/>
  <c r="N151" i="5"/>
  <c r="N150" i="5"/>
  <c r="D189" i="5"/>
  <c r="D190" i="5"/>
  <c r="D205" i="5" s="1"/>
  <c r="D206" i="5" s="1"/>
  <c r="D207" i="5" s="1"/>
  <c r="D208" i="5" s="1"/>
  <c r="D188" i="5"/>
  <c r="C213" i="5"/>
  <c r="C214" i="5" s="1"/>
  <c r="C216" i="5" s="1"/>
  <c r="G80" i="5"/>
  <c r="F81" i="5"/>
  <c r="F85" i="5"/>
  <c r="D112" i="5"/>
  <c r="D111" i="5"/>
  <c r="G133" i="5"/>
  <c r="G138" i="5" s="1"/>
  <c r="F134" i="5"/>
  <c r="G151" i="5"/>
  <c r="G150" i="5"/>
  <c r="C111" i="5"/>
  <c r="C112" i="5"/>
  <c r="E233" i="5"/>
  <c r="F233" i="5"/>
  <c r="G233" i="5"/>
  <c r="H233" i="5"/>
  <c r="I233" i="5"/>
  <c r="J233" i="5"/>
  <c r="K233" i="5"/>
  <c r="L233" i="5"/>
  <c r="M233" i="5"/>
  <c r="N233" i="5"/>
  <c r="C233" i="5"/>
  <c r="C241" i="5"/>
  <c r="D233" i="5"/>
  <c r="D241" i="5"/>
  <c r="E130" i="5"/>
  <c r="E138" i="5"/>
  <c r="F130" i="5"/>
  <c r="F138" i="5"/>
  <c r="G130" i="5"/>
  <c r="H130" i="5"/>
  <c r="I130" i="5"/>
  <c r="J130" i="5"/>
  <c r="K130" i="5"/>
  <c r="L130" i="5"/>
  <c r="M130" i="5"/>
  <c r="N130" i="5"/>
  <c r="C130" i="5"/>
  <c r="C138" i="5"/>
  <c r="D130" i="5"/>
  <c r="D138" i="5"/>
  <c r="E16" i="10"/>
  <c r="G26" i="9"/>
  <c r="AM29" i="2"/>
  <c r="Y29" i="2"/>
  <c r="AF29" i="2"/>
  <c r="D193" i="5"/>
  <c r="D194" i="5"/>
  <c r="D209" i="5" s="1"/>
  <c r="D210" i="5" s="1"/>
  <c r="D211" i="5" s="1"/>
  <c r="D212" i="5" s="1"/>
  <c r="D192" i="5"/>
  <c r="D185" i="5"/>
  <c r="D184" i="5"/>
  <c r="C193" i="5"/>
  <c r="C194" i="5"/>
  <c r="C209" i="5" s="1"/>
  <c r="C210" i="5" s="1"/>
  <c r="C211" i="5" s="1"/>
  <c r="C212" i="5" s="1"/>
  <c r="C192" i="5"/>
  <c r="C185" i="5"/>
  <c r="C223" i="5" s="1"/>
  <c r="C184" i="5"/>
  <c r="N185" i="5"/>
  <c r="N184" i="5"/>
  <c r="M185" i="5"/>
  <c r="M184" i="5"/>
  <c r="L185" i="5"/>
  <c r="L184" i="5"/>
  <c r="K185" i="5"/>
  <c r="K184" i="5"/>
  <c r="J185" i="5"/>
  <c r="J184" i="5"/>
  <c r="I185" i="5"/>
  <c r="I184" i="5"/>
  <c r="H185" i="5"/>
  <c r="H184" i="5"/>
  <c r="G185" i="5"/>
  <c r="G184" i="5"/>
  <c r="F185" i="5"/>
  <c r="F184" i="5"/>
  <c r="E193" i="5"/>
  <c r="E194" i="5"/>
  <c r="E209" i="5" s="1"/>
  <c r="E210" i="5" s="1"/>
  <c r="E211" i="5" s="1"/>
  <c r="E212" i="5" s="1"/>
  <c r="E192" i="5"/>
  <c r="E185" i="5"/>
  <c r="E184" i="5"/>
  <c r="D223" i="5" l="1"/>
  <c r="E87" i="5"/>
  <c r="E88" i="5"/>
  <c r="E103" i="5" s="1"/>
  <c r="E104" i="5" s="1"/>
  <c r="E105" i="5" s="1"/>
  <c r="E106" i="5" s="1"/>
  <c r="C263" i="5"/>
  <c r="C264" i="5" s="1"/>
  <c r="C266" i="5" s="1"/>
  <c r="C267" i="5" s="1"/>
  <c r="D114" i="5"/>
  <c r="D115" i="5" s="1"/>
  <c r="D123" i="5" s="1"/>
  <c r="G17" i="2" s="1"/>
  <c r="H17" i="2" s="1"/>
  <c r="D213" i="5"/>
  <c r="D214" i="5" s="1"/>
  <c r="D216" i="5" s="1"/>
  <c r="D218" i="5" s="1"/>
  <c r="E107" i="5"/>
  <c r="E108" i="5" s="1"/>
  <c r="E110" i="5" s="1"/>
  <c r="E112" i="5" s="1"/>
  <c r="D240" i="5"/>
  <c r="D255" i="5" s="1"/>
  <c r="D256" i="5" s="1"/>
  <c r="D257" i="5" s="1"/>
  <c r="D258" i="5" s="1"/>
  <c r="D239" i="5"/>
  <c r="D238" i="5"/>
  <c r="E160" i="5"/>
  <c r="E161" i="5" s="1"/>
  <c r="E163" i="5" s="1"/>
  <c r="E164" i="5" s="1"/>
  <c r="E118" i="5"/>
  <c r="E119" i="5" s="1"/>
  <c r="E120" i="5" s="1"/>
  <c r="E121" i="5" s="1"/>
  <c r="C269" i="5"/>
  <c r="F236" i="5"/>
  <c r="E237" i="5"/>
  <c r="C114" i="5"/>
  <c r="C115" i="5" s="1"/>
  <c r="C123" i="5" s="1"/>
  <c r="G16" i="2" s="1"/>
  <c r="AF31" i="2"/>
  <c r="AF30" i="2"/>
  <c r="AM30" i="2"/>
  <c r="Y31" i="2"/>
  <c r="AF28" i="2"/>
  <c r="Y30" i="2"/>
  <c r="J29" i="12"/>
  <c r="V29" i="12" s="1"/>
  <c r="Y28" i="2"/>
  <c r="AM31" i="2"/>
  <c r="AM28" i="2"/>
  <c r="AM27" i="2"/>
  <c r="AF27" i="2"/>
  <c r="Y27" i="2"/>
  <c r="D165" i="5"/>
  <c r="D164" i="5"/>
  <c r="F137" i="5"/>
  <c r="F152" i="5" s="1"/>
  <c r="F153" i="5" s="1"/>
  <c r="F154" i="5" s="1"/>
  <c r="F155" i="5" s="1"/>
  <c r="F135" i="5"/>
  <c r="F136" i="5"/>
  <c r="F83" i="5"/>
  <c r="F84" i="5"/>
  <c r="F99" i="5" s="1"/>
  <c r="F100" i="5" s="1"/>
  <c r="F101" i="5" s="1"/>
  <c r="F102" i="5" s="1"/>
  <c r="F82" i="5"/>
  <c r="F117" i="5" s="1"/>
  <c r="D219" i="5"/>
  <c r="D166" i="5"/>
  <c r="G134" i="5"/>
  <c r="H133" i="5"/>
  <c r="G81" i="5"/>
  <c r="H80" i="5"/>
  <c r="G85" i="5"/>
  <c r="G186" i="5"/>
  <c r="F187" i="5"/>
  <c r="F191" i="5"/>
  <c r="E111" i="5"/>
  <c r="E190" i="5"/>
  <c r="E205" i="5" s="1"/>
  <c r="E206" i="5" s="1"/>
  <c r="E207" i="5" s="1"/>
  <c r="E208" i="5" s="1"/>
  <c r="E188" i="5"/>
  <c r="E223" i="5" s="1"/>
  <c r="E189" i="5"/>
  <c r="E166" i="5"/>
  <c r="E113" i="5"/>
  <c r="F87" i="5"/>
  <c r="F86" i="5"/>
  <c r="F88" i="5"/>
  <c r="F103" i="5" s="1"/>
  <c r="F104" i="5" s="1"/>
  <c r="F105" i="5" s="1"/>
  <c r="F106" i="5" s="1"/>
  <c r="C217" i="5"/>
  <c r="C218" i="5"/>
  <c r="D217" i="5"/>
  <c r="E165" i="5"/>
  <c r="D139" i="5"/>
  <c r="D141" i="5"/>
  <c r="D156" i="5" s="1"/>
  <c r="D157" i="5" s="1"/>
  <c r="D158" i="5" s="1"/>
  <c r="D159" i="5" s="1"/>
  <c r="D140" i="5"/>
  <c r="D131" i="5"/>
  <c r="D132" i="5"/>
  <c r="D170" i="5" s="1"/>
  <c r="C140" i="5"/>
  <c r="C139" i="5"/>
  <c r="C141" i="5"/>
  <c r="C156" i="5" s="1"/>
  <c r="C157" i="5" s="1"/>
  <c r="C158" i="5" s="1"/>
  <c r="C159" i="5" s="1"/>
  <c r="C131" i="5"/>
  <c r="C132" i="5"/>
  <c r="C170" i="5" s="1"/>
  <c r="N131" i="5"/>
  <c r="N132" i="5"/>
  <c r="M131" i="5"/>
  <c r="M132" i="5"/>
  <c r="L131" i="5"/>
  <c r="L132" i="5"/>
  <c r="K131" i="5"/>
  <c r="K132" i="5"/>
  <c r="J131" i="5"/>
  <c r="J132" i="5"/>
  <c r="I131" i="5"/>
  <c r="I132" i="5"/>
  <c r="H131" i="5"/>
  <c r="H132" i="5"/>
  <c r="G139" i="5"/>
  <c r="G141" i="5"/>
  <c r="G156" i="5" s="1"/>
  <c r="G157" i="5" s="1"/>
  <c r="G158" i="5" s="1"/>
  <c r="G159" i="5" s="1"/>
  <c r="G140" i="5"/>
  <c r="G131" i="5"/>
  <c r="G132" i="5"/>
  <c r="F139" i="5"/>
  <c r="F141" i="5"/>
  <c r="F156" i="5" s="1"/>
  <c r="F157" i="5" s="1"/>
  <c r="F158" i="5" s="1"/>
  <c r="F159" i="5" s="1"/>
  <c r="F140" i="5"/>
  <c r="F131" i="5"/>
  <c r="F132" i="5"/>
  <c r="F170" i="5" s="1"/>
  <c r="E139" i="5"/>
  <c r="E141" i="5"/>
  <c r="E156" i="5" s="1"/>
  <c r="E157" i="5" s="1"/>
  <c r="E158" i="5" s="1"/>
  <c r="E159" i="5" s="1"/>
  <c r="E140" i="5"/>
  <c r="E131" i="5"/>
  <c r="E132" i="5"/>
  <c r="E170" i="5" s="1"/>
  <c r="D244" i="5"/>
  <c r="D259" i="5" s="1"/>
  <c r="D260" i="5" s="1"/>
  <c r="D261" i="5" s="1"/>
  <c r="D262" i="5" s="1"/>
  <c r="D243" i="5"/>
  <c r="D242" i="5"/>
  <c r="D235" i="5"/>
  <c r="D273" i="5" s="1"/>
  <c r="D234" i="5"/>
  <c r="C244" i="5"/>
  <c r="C259" i="5" s="1"/>
  <c r="C260" i="5" s="1"/>
  <c r="C261" i="5" s="1"/>
  <c r="C262" i="5" s="1"/>
  <c r="C243" i="5"/>
  <c r="C242" i="5"/>
  <c r="C235" i="5"/>
  <c r="C273" i="5" s="1"/>
  <c r="C234" i="5"/>
  <c r="N235" i="5"/>
  <c r="N234" i="5"/>
  <c r="M235" i="5"/>
  <c r="M234" i="5"/>
  <c r="L235" i="5"/>
  <c r="L234" i="5"/>
  <c r="K235" i="5"/>
  <c r="K234" i="5"/>
  <c r="J235" i="5"/>
  <c r="J234" i="5"/>
  <c r="I235" i="5"/>
  <c r="I234" i="5"/>
  <c r="H235" i="5"/>
  <c r="H234" i="5"/>
  <c r="G235" i="5"/>
  <c r="G234" i="5"/>
  <c r="F235" i="5"/>
  <c r="F234" i="5"/>
  <c r="E244" i="5"/>
  <c r="E259" i="5" s="1"/>
  <c r="E260" i="5" s="1"/>
  <c r="E261" i="5" s="1"/>
  <c r="E262" i="5" s="1"/>
  <c r="E243" i="5"/>
  <c r="E242" i="5"/>
  <c r="E235" i="5"/>
  <c r="E234" i="5"/>
  <c r="H26" i="9"/>
  <c r="H16" i="10"/>
  <c r="J16" i="10"/>
  <c r="V31" i="12"/>
  <c r="V30" i="12"/>
  <c r="V40" i="12"/>
  <c r="V39" i="12"/>
  <c r="V38" i="12"/>
  <c r="V37" i="12"/>
  <c r="V36" i="12"/>
  <c r="V35" i="12"/>
  <c r="V34" i="12"/>
  <c r="V33" i="12"/>
  <c r="V32" i="12"/>
  <c r="C224" i="5"/>
  <c r="C225" i="5" s="1"/>
  <c r="C226" i="5" s="1"/>
  <c r="C227" i="5" s="1"/>
  <c r="C220" i="5"/>
  <c r="C221" i="5" s="1"/>
  <c r="C229" i="5" s="1"/>
  <c r="D224" i="5"/>
  <c r="D225" i="5" s="1"/>
  <c r="D226" i="5" s="1"/>
  <c r="D227" i="5" s="1"/>
  <c r="D220" i="5"/>
  <c r="D221" i="5" l="1"/>
  <c r="D229" i="5" s="1"/>
  <c r="AG28" i="2" s="1"/>
  <c r="E114" i="5"/>
  <c r="E115" i="5" s="1"/>
  <c r="E123" i="5" s="1"/>
  <c r="C268" i="5"/>
  <c r="D263" i="5"/>
  <c r="D264" i="5" s="1"/>
  <c r="D266" i="5" s="1"/>
  <c r="D268" i="5" s="1"/>
  <c r="E224" i="5"/>
  <c r="E225" i="5" s="1"/>
  <c r="E226" i="5" s="1"/>
  <c r="E227" i="5" s="1"/>
  <c r="F160" i="5"/>
  <c r="F161" i="5" s="1"/>
  <c r="F163" i="5" s="1"/>
  <c r="F164" i="5" s="1"/>
  <c r="F237" i="5"/>
  <c r="F241" i="5"/>
  <c r="G236" i="5"/>
  <c r="D269" i="5"/>
  <c r="E213" i="5"/>
  <c r="E214" i="5" s="1"/>
  <c r="E216" i="5" s="1"/>
  <c r="E217" i="5" s="1"/>
  <c r="D267" i="5"/>
  <c r="E240" i="5"/>
  <c r="E255" i="5" s="1"/>
  <c r="E256" i="5" s="1"/>
  <c r="E257" i="5" s="1"/>
  <c r="E258" i="5" s="1"/>
  <c r="E238" i="5"/>
  <c r="E273" i="5" s="1"/>
  <c r="E239" i="5"/>
  <c r="F107" i="5"/>
  <c r="F108" i="5" s="1"/>
  <c r="F110" i="5" s="1"/>
  <c r="F112" i="5" s="1"/>
  <c r="C171" i="5"/>
  <c r="C172" i="5" s="1"/>
  <c r="C173" i="5" s="1"/>
  <c r="C174" i="5" s="1"/>
  <c r="E167" i="5"/>
  <c r="E168" i="5" s="1"/>
  <c r="E176" i="5" s="1"/>
  <c r="Z29" i="2" s="1"/>
  <c r="D171" i="5"/>
  <c r="D172" i="5" s="1"/>
  <c r="D173" i="5" s="1"/>
  <c r="D174" i="5" s="1"/>
  <c r="W98" i="12"/>
  <c r="E30" i="12" s="1"/>
  <c r="U30" i="12" s="1"/>
  <c r="X42" i="12" s="1"/>
  <c r="J17" i="2"/>
  <c r="L17" i="2"/>
  <c r="F171" i="5"/>
  <c r="F172" i="5" s="1"/>
  <c r="F173" i="5" s="1"/>
  <c r="F174" i="5" s="1"/>
  <c r="D167" i="5"/>
  <c r="D168" i="5" s="1"/>
  <c r="D176" i="5" s="1"/>
  <c r="Z28" i="2" s="1"/>
  <c r="F193" i="5"/>
  <c r="F194" i="5"/>
  <c r="F209" i="5" s="1"/>
  <c r="F210" i="5" s="1"/>
  <c r="F211" i="5" s="1"/>
  <c r="F212" i="5" s="1"/>
  <c r="F192" i="5"/>
  <c r="G82" i="5"/>
  <c r="G117" i="5" s="1"/>
  <c r="G83" i="5"/>
  <c r="G84" i="5"/>
  <c r="G99" i="5" s="1"/>
  <c r="G100" i="5" s="1"/>
  <c r="G101" i="5" s="1"/>
  <c r="G102" i="5" s="1"/>
  <c r="F118" i="5"/>
  <c r="F119" i="5" s="1"/>
  <c r="F120" i="5" s="1"/>
  <c r="F121" i="5" s="1"/>
  <c r="F166" i="5"/>
  <c r="F167" i="5" s="1"/>
  <c r="W97" i="12"/>
  <c r="E29" i="12" s="1"/>
  <c r="L16" i="2"/>
  <c r="J16" i="2"/>
  <c r="H16" i="2"/>
  <c r="F189" i="5"/>
  <c r="F190" i="5"/>
  <c r="F205" i="5" s="1"/>
  <c r="F206" i="5" s="1"/>
  <c r="F207" i="5" s="1"/>
  <c r="F208" i="5" s="1"/>
  <c r="F188" i="5"/>
  <c r="F223" i="5" s="1"/>
  <c r="I133" i="5"/>
  <c r="H134" i="5"/>
  <c r="H138" i="5"/>
  <c r="G187" i="5"/>
  <c r="H186" i="5"/>
  <c r="G191" i="5"/>
  <c r="G87" i="5"/>
  <c r="G86" i="5"/>
  <c r="G88" i="5"/>
  <c r="G103" i="5" s="1"/>
  <c r="G104" i="5" s="1"/>
  <c r="G105" i="5" s="1"/>
  <c r="G106" i="5" s="1"/>
  <c r="G137" i="5"/>
  <c r="G152" i="5" s="1"/>
  <c r="G153" i="5" s="1"/>
  <c r="G154" i="5" s="1"/>
  <c r="G155" i="5" s="1"/>
  <c r="G135" i="5"/>
  <c r="G170" i="5" s="1"/>
  <c r="G136" i="5"/>
  <c r="F113" i="5"/>
  <c r="F114" i="5" s="1"/>
  <c r="E171" i="5"/>
  <c r="E172" i="5" s="1"/>
  <c r="E173" i="5" s="1"/>
  <c r="E174" i="5" s="1"/>
  <c r="E219" i="5"/>
  <c r="E220" i="5" s="1"/>
  <c r="H81" i="5"/>
  <c r="I80" i="5"/>
  <c r="H85" i="5"/>
  <c r="C274" i="5"/>
  <c r="C275" i="5" s="1"/>
  <c r="C276" i="5" s="1"/>
  <c r="C277" i="5" s="1"/>
  <c r="C270" i="5"/>
  <c r="C271" i="5" s="1"/>
  <c r="C279" i="5" s="1"/>
  <c r="D274" i="5"/>
  <c r="D275" i="5" s="1"/>
  <c r="D276" i="5" s="1"/>
  <c r="D277" i="5" s="1"/>
  <c r="D270" i="5"/>
  <c r="C167" i="5"/>
  <c r="C168" i="5" s="1"/>
  <c r="C176" i="5" s="1"/>
  <c r="K14" i="12"/>
  <c r="AH28" i="2"/>
  <c r="AI28" i="2"/>
  <c r="AG27" i="2"/>
  <c r="AI27" i="2" s="1"/>
  <c r="Y29" i="12" l="1"/>
  <c r="F165" i="5"/>
  <c r="F111" i="5"/>
  <c r="AA49" i="12"/>
  <c r="E274" i="5"/>
  <c r="E275" i="5" s="1"/>
  <c r="E276" i="5" s="1"/>
  <c r="E277" i="5" s="1"/>
  <c r="E218" i="5"/>
  <c r="G107" i="5"/>
  <c r="G108" i="5" s="1"/>
  <c r="G110" i="5" s="1"/>
  <c r="G112" i="5" s="1"/>
  <c r="D271" i="5"/>
  <c r="D279" i="5" s="1"/>
  <c r="AN28" i="2" s="1"/>
  <c r="E263" i="5"/>
  <c r="E264" i="5" s="1"/>
  <c r="E266" i="5" s="1"/>
  <c r="E267" i="5" s="1"/>
  <c r="E221" i="5"/>
  <c r="E229" i="5" s="1"/>
  <c r="AG29" i="2" s="1"/>
  <c r="F242" i="5"/>
  <c r="F244" i="5"/>
  <c r="F259" i="5" s="1"/>
  <c r="F260" i="5" s="1"/>
  <c r="F261" i="5" s="1"/>
  <c r="F262" i="5" s="1"/>
  <c r="F243" i="5"/>
  <c r="F239" i="5"/>
  <c r="F238" i="5"/>
  <c r="F273" i="5" s="1"/>
  <c r="F240" i="5"/>
  <c r="F255" i="5" s="1"/>
  <c r="F256" i="5" s="1"/>
  <c r="F257" i="5" s="1"/>
  <c r="F258" i="5" s="1"/>
  <c r="X41" i="12"/>
  <c r="E269" i="5"/>
  <c r="E270" i="5" s="1"/>
  <c r="G241" i="5"/>
  <c r="H236" i="5"/>
  <c r="G237" i="5"/>
  <c r="F168" i="5"/>
  <c r="F176" i="5" s="1"/>
  <c r="G118" i="5"/>
  <c r="G119" i="5" s="1"/>
  <c r="G120" i="5" s="1"/>
  <c r="G121" i="5" s="1"/>
  <c r="G171" i="5"/>
  <c r="G172" i="5" s="1"/>
  <c r="G173" i="5" s="1"/>
  <c r="G174" i="5" s="1"/>
  <c r="F219" i="5"/>
  <c r="F220" i="5" s="1"/>
  <c r="AA41" i="12"/>
  <c r="X49" i="12"/>
  <c r="AA45" i="12"/>
  <c r="X45" i="12"/>
  <c r="AA43" i="12"/>
  <c r="X47" i="12"/>
  <c r="AA47" i="12"/>
  <c r="X43" i="12"/>
  <c r="AA48" i="12"/>
  <c r="AA44" i="12"/>
  <c r="AA40" i="12"/>
  <c r="X48" i="12"/>
  <c r="X44" i="12"/>
  <c r="Z29" i="12"/>
  <c r="AA46" i="12"/>
  <c r="AA42" i="12"/>
  <c r="X40" i="12"/>
  <c r="X46" i="12"/>
  <c r="F115" i="5"/>
  <c r="F123" i="5" s="1"/>
  <c r="G19" i="2" s="1"/>
  <c r="H19" i="2" s="1"/>
  <c r="H86" i="5"/>
  <c r="H87" i="5"/>
  <c r="H88" i="5"/>
  <c r="H103" i="5" s="1"/>
  <c r="H104" i="5" s="1"/>
  <c r="H105" i="5" s="1"/>
  <c r="H106" i="5" s="1"/>
  <c r="G166" i="5"/>
  <c r="G167" i="5" s="1"/>
  <c r="G188" i="5"/>
  <c r="G223" i="5" s="1"/>
  <c r="G189" i="5"/>
  <c r="G190" i="5"/>
  <c r="G205" i="5" s="1"/>
  <c r="G206" i="5" s="1"/>
  <c r="G207" i="5" s="1"/>
  <c r="G208" i="5" s="1"/>
  <c r="H139" i="5"/>
  <c r="H141" i="5"/>
  <c r="H156" i="5" s="1"/>
  <c r="H157" i="5" s="1"/>
  <c r="H158" i="5" s="1"/>
  <c r="H159" i="5" s="1"/>
  <c r="H140" i="5"/>
  <c r="F213" i="5"/>
  <c r="F214" i="5" s="1"/>
  <c r="F216" i="5" s="1"/>
  <c r="I81" i="5"/>
  <c r="J80" i="5"/>
  <c r="I85" i="5"/>
  <c r="G18" i="2"/>
  <c r="H136" i="5"/>
  <c r="H137" i="5"/>
  <c r="H152" i="5" s="1"/>
  <c r="H153" i="5" s="1"/>
  <c r="H154" i="5" s="1"/>
  <c r="H155" i="5" s="1"/>
  <c r="H135" i="5"/>
  <c r="H170" i="5" s="1"/>
  <c r="U29" i="12"/>
  <c r="H84" i="5"/>
  <c r="H99" i="5" s="1"/>
  <c r="H100" i="5" s="1"/>
  <c r="H101" i="5" s="1"/>
  <c r="H102" i="5" s="1"/>
  <c r="H82" i="5"/>
  <c r="H117" i="5" s="1"/>
  <c r="H83" i="5"/>
  <c r="G160" i="5"/>
  <c r="G161" i="5" s="1"/>
  <c r="G163" i="5" s="1"/>
  <c r="G194" i="5"/>
  <c r="G209" i="5" s="1"/>
  <c r="G210" i="5" s="1"/>
  <c r="G211" i="5" s="1"/>
  <c r="G212" i="5" s="1"/>
  <c r="G192" i="5"/>
  <c r="G193" i="5"/>
  <c r="I134" i="5"/>
  <c r="J133" i="5"/>
  <c r="I138" i="5"/>
  <c r="G113" i="5"/>
  <c r="G114" i="5" s="1"/>
  <c r="H187" i="5"/>
  <c r="I186" i="5"/>
  <c r="H191" i="5"/>
  <c r="F224" i="5"/>
  <c r="F225" i="5" s="1"/>
  <c r="F226" i="5" s="1"/>
  <c r="F227" i="5" s="1"/>
  <c r="AB28" i="2"/>
  <c r="AA28" i="2"/>
  <c r="Z27" i="2"/>
  <c r="AB29" i="2"/>
  <c r="AA29" i="2"/>
  <c r="AP28" i="2"/>
  <c r="AO28" i="2"/>
  <c r="AN27" i="2"/>
  <c r="M30" i="12"/>
  <c r="M31" i="12"/>
  <c r="M32" i="12"/>
  <c r="M33" i="12"/>
  <c r="M34" i="12"/>
  <c r="M35" i="12"/>
  <c r="M36" i="12"/>
  <c r="M37" i="12"/>
  <c r="M38" i="12"/>
  <c r="M39" i="12"/>
  <c r="M40" i="12"/>
  <c r="M29" i="12"/>
  <c r="M14" i="12"/>
  <c r="AH27" i="2"/>
  <c r="G111" i="5" l="1"/>
  <c r="F263" i="5"/>
  <c r="F264" i="5" s="1"/>
  <c r="F266" i="5" s="1"/>
  <c r="F267" i="5" s="1"/>
  <c r="H171" i="5"/>
  <c r="H172" i="5" s="1"/>
  <c r="H173" i="5" s="1"/>
  <c r="H174" i="5" s="1"/>
  <c r="E268" i="5"/>
  <c r="E271" i="5" s="1"/>
  <c r="E279" i="5" s="1"/>
  <c r="AN29" i="2" s="1"/>
  <c r="H241" i="5"/>
  <c r="H237" i="5"/>
  <c r="I236" i="5"/>
  <c r="G242" i="5"/>
  <c r="G244" i="5"/>
  <c r="G259" i="5" s="1"/>
  <c r="G260" i="5" s="1"/>
  <c r="G261" i="5" s="1"/>
  <c r="G262" i="5" s="1"/>
  <c r="G243" i="5"/>
  <c r="F274" i="5"/>
  <c r="F275" i="5" s="1"/>
  <c r="F276" i="5" s="1"/>
  <c r="F277" i="5" s="1"/>
  <c r="F269" i="5"/>
  <c r="F270" i="5" s="1"/>
  <c r="H160" i="5"/>
  <c r="H161" i="5" s="1"/>
  <c r="H163" i="5" s="1"/>
  <c r="H164" i="5" s="1"/>
  <c r="G239" i="5"/>
  <c r="G238" i="5"/>
  <c r="G273" i="5" s="1"/>
  <c r="G240" i="5"/>
  <c r="G255" i="5" s="1"/>
  <c r="G256" i="5" s="1"/>
  <c r="G257" i="5" s="1"/>
  <c r="G258" i="5" s="1"/>
  <c r="AI29" i="2"/>
  <c r="AH29" i="2"/>
  <c r="G213" i="5"/>
  <c r="G214" i="5" s="1"/>
  <c r="G216" i="5" s="1"/>
  <c r="G218" i="5" s="1"/>
  <c r="H118" i="5"/>
  <c r="H119" i="5" s="1"/>
  <c r="H120" i="5" s="1"/>
  <c r="H121" i="5" s="1"/>
  <c r="G224" i="5"/>
  <c r="G225" i="5" s="1"/>
  <c r="G226" i="5" s="1"/>
  <c r="G227" i="5" s="1"/>
  <c r="W100" i="12"/>
  <c r="E32" i="12" s="1"/>
  <c r="U32" i="12" s="1"/>
  <c r="L19" i="2"/>
  <c r="J19" i="2"/>
  <c r="G115" i="5"/>
  <c r="G123" i="5" s="1"/>
  <c r="G20" i="2" s="1"/>
  <c r="W101" i="12" s="1"/>
  <c r="H194" i="5"/>
  <c r="H209" i="5" s="1"/>
  <c r="H210" i="5" s="1"/>
  <c r="H211" i="5" s="1"/>
  <c r="H212" i="5" s="1"/>
  <c r="H192" i="5"/>
  <c r="H193" i="5"/>
  <c r="I135" i="5"/>
  <c r="I170" i="5" s="1"/>
  <c r="I136" i="5"/>
  <c r="I137" i="5"/>
  <c r="I152" i="5" s="1"/>
  <c r="I153" i="5" s="1"/>
  <c r="I154" i="5" s="1"/>
  <c r="I155" i="5" s="1"/>
  <c r="G164" i="5"/>
  <c r="G165" i="5"/>
  <c r="G168" i="5" s="1"/>
  <c r="G176" i="5" s="1"/>
  <c r="H113" i="5"/>
  <c r="H114" i="5" s="1"/>
  <c r="W99" i="12"/>
  <c r="E31" i="12" s="1"/>
  <c r="J18" i="2"/>
  <c r="L18" i="2"/>
  <c r="H18" i="2"/>
  <c r="I187" i="5"/>
  <c r="J186" i="5"/>
  <c r="I191" i="5"/>
  <c r="I86" i="5"/>
  <c r="I87" i="5"/>
  <c r="I88" i="5"/>
  <c r="I103" i="5" s="1"/>
  <c r="I104" i="5" s="1"/>
  <c r="I105" i="5" s="1"/>
  <c r="I106" i="5" s="1"/>
  <c r="F218" i="5"/>
  <c r="F221" i="5" s="1"/>
  <c r="F229" i="5" s="1"/>
  <c r="F217" i="5"/>
  <c r="H190" i="5"/>
  <c r="H205" i="5" s="1"/>
  <c r="H206" i="5" s="1"/>
  <c r="H207" i="5" s="1"/>
  <c r="H208" i="5" s="1"/>
  <c r="H188" i="5"/>
  <c r="H223" i="5" s="1"/>
  <c r="H189" i="5"/>
  <c r="I139" i="5"/>
  <c r="I141" i="5"/>
  <c r="I156" i="5" s="1"/>
  <c r="I157" i="5" s="1"/>
  <c r="I158" i="5" s="1"/>
  <c r="I159" i="5" s="1"/>
  <c r="I140" i="5"/>
  <c r="H107" i="5"/>
  <c r="H108" i="5" s="1"/>
  <c r="H110" i="5" s="1"/>
  <c r="X31" i="12"/>
  <c r="X35" i="12"/>
  <c r="X39" i="12"/>
  <c r="AA30" i="12"/>
  <c r="X32" i="12"/>
  <c r="X36" i="12"/>
  <c r="X29" i="12"/>
  <c r="AC29" i="12" s="1"/>
  <c r="AA31" i="12"/>
  <c r="AA35" i="12"/>
  <c r="AA39" i="12"/>
  <c r="AA36" i="12"/>
  <c r="AA38" i="12"/>
  <c r="X33" i="12"/>
  <c r="X37" i="12"/>
  <c r="AA32" i="12"/>
  <c r="X30" i="12"/>
  <c r="X34" i="12"/>
  <c r="X38" i="12"/>
  <c r="AA29" i="12"/>
  <c r="AB29" i="12" s="1"/>
  <c r="AA33" i="12"/>
  <c r="AA37" i="12"/>
  <c r="AA34" i="12"/>
  <c r="H166" i="5"/>
  <c r="K80" i="5"/>
  <c r="J81" i="5"/>
  <c r="J85" i="5"/>
  <c r="H167" i="5"/>
  <c r="G219" i="5"/>
  <c r="G220" i="5" s="1"/>
  <c r="J134" i="5"/>
  <c r="K133" i="5"/>
  <c r="J138" i="5"/>
  <c r="I84" i="5"/>
  <c r="I99" i="5" s="1"/>
  <c r="I100" i="5" s="1"/>
  <c r="I101" i="5" s="1"/>
  <c r="I102" i="5" s="1"/>
  <c r="I82" i="5"/>
  <c r="I117" i="5" s="1"/>
  <c r="I83" i="5"/>
  <c r="AO27" i="2"/>
  <c r="AP27" i="2"/>
  <c r="AB27" i="2"/>
  <c r="AA27" i="2"/>
  <c r="E27" i="7"/>
  <c r="G27" i="7" s="1"/>
  <c r="G22" i="4"/>
  <c r="L19" i="4" s="1"/>
  <c r="I12" i="7" l="1"/>
  <c r="I11" i="7"/>
  <c r="F268" i="5"/>
  <c r="F271" i="5" s="1"/>
  <c r="F279" i="5" s="1"/>
  <c r="H165" i="5"/>
  <c r="AP29" i="2"/>
  <c r="AO29" i="2"/>
  <c r="G217" i="5"/>
  <c r="H224" i="5"/>
  <c r="H225" i="5" s="1"/>
  <c r="H226" i="5" s="1"/>
  <c r="H227" i="5" s="1"/>
  <c r="G274" i="5"/>
  <c r="G275" i="5" s="1"/>
  <c r="G276" i="5" s="1"/>
  <c r="G277" i="5" s="1"/>
  <c r="I118" i="5"/>
  <c r="I119" i="5" s="1"/>
  <c r="I120" i="5" s="1"/>
  <c r="I121" i="5" s="1"/>
  <c r="G269" i="5"/>
  <c r="G270" i="5" s="1"/>
  <c r="I241" i="5"/>
  <c r="I237" i="5"/>
  <c r="J236" i="5"/>
  <c r="H239" i="5"/>
  <c r="H238" i="5"/>
  <c r="H273" i="5" s="1"/>
  <c r="H240" i="5"/>
  <c r="H255" i="5" s="1"/>
  <c r="H256" i="5" s="1"/>
  <c r="H257" i="5" s="1"/>
  <c r="H258" i="5" s="1"/>
  <c r="G221" i="5"/>
  <c r="G229" i="5" s="1"/>
  <c r="I166" i="5"/>
  <c r="I167" i="5" s="1"/>
  <c r="G263" i="5"/>
  <c r="G264" i="5" s="1"/>
  <c r="G266" i="5" s="1"/>
  <c r="H242" i="5"/>
  <c r="H244" i="5"/>
  <c r="H259" i="5" s="1"/>
  <c r="H260" i="5" s="1"/>
  <c r="H261" i="5" s="1"/>
  <c r="H262" i="5" s="1"/>
  <c r="H243" i="5"/>
  <c r="L20" i="2"/>
  <c r="H20" i="2"/>
  <c r="J20" i="2"/>
  <c r="I113" i="5"/>
  <c r="I114" i="5" s="1"/>
  <c r="J135" i="5"/>
  <c r="J170" i="5" s="1"/>
  <c r="J136" i="5"/>
  <c r="J137" i="5"/>
  <c r="J152" i="5" s="1"/>
  <c r="J153" i="5" s="1"/>
  <c r="J154" i="5" s="1"/>
  <c r="J155" i="5" s="1"/>
  <c r="L80" i="5"/>
  <c r="K85" i="5"/>
  <c r="K81" i="5"/>
  <c r="H213" i="5"/>
  <c r="H214" i="5" s="1"/>
  <c r="H216" i="5" s="1"/>
  <c r="H168" i="5"/>
  <c r="H176" i="5" s="1"/>
  <c r="K186" i="5"/>
  <c r="J187" i="5"/>
  <c r="J191" i="5"/>
  <c r="I171" i="5"/>
  <c r="I172" i="5" s="1"/>
  <c r="I173" i="5" s="1"/>
  <c r="I174" i="5" s="1"/>
  <c r="H112" i="5"/>
  <c r="H115" i="5" s="1"/>
  <c r="H123" i="5" s="1"/>
  <c r="H111" i="5"/>
  <c r="I190" i="5"/>
  <c r="I205" i="5" s="1"/>
  <c r="I206" i="5" s="1"/>
  <c r="I207" i="5" s="1"/>
  <c r="I208" i="5" s="1"/>
  <c r="I188" i="5"/>
  <c r="I223" i="5" s="1"/>
  <c r="I189" i="5"/>
  <c r="I107" i="5"/>
  <c r="I108" i="5" s="1"/>
  <c r="I110" i="5" s="1"/>
  <c r="J141" i="5"/>
  <c r="J156" i="5" s="1"/>
  <c r="J157" i="5" s="1"/>
  <c r="J158" i="5" s="1"/>
  <c r="J159" i="5" s="1"/>
  <c r="J140" i="5"/>
  <c r="J139" i="5"/>
  <c r="J86" i="5"/>
  <c r="J87" i="5"/>
  <c r="J88" i="5"/>
  <c r="J103" i="5" s="1"/>
  <c r="J104" i="5" s="1"/>
  <c r="J105" i="5" s="1"/>
  <c r="J106" i="5" s="1"/>
  <c r="AD29" i="12"/>
  <c r="AE29" i="12" s="1"/>
  <c r="H219" i="5"/>
  <c r="H220" i="5" s="1"/>
  <c r="E33" i="12"/>
  <c r="U33" i="12" s="1"/>
  <c r="U31" i="12"/>
  <c r="I160" i="5"/>
  <c r="I161" i="5" s="1"/>
  <c r="I163" i="5" s="1"/>
  <c r="K134" i="5"/>
  <c r="L133" i="5"/>
  <c r="K138" i="5"/>
  <c r="J84" i="5"/>
  <c r="J99" i="5" s="1"/>
  <c r="J100" i="5" s="1"/>
  <c r="J101" i="5" s="1"/>
  <c r="J102" i="5" s="1"/>
  <c r="J82" i="5"/>
  <c r="J117" i="5" s="1"/>
  <c r="J83" i="5"/>
  <c r="I192" i="5"/>
  <c r="I193" i="5"/>
  <c r="I194" i="5"/>
  <c r="I209" i="5" s="1"/>
  <c r="I210" i="5" s="1"/>
  <c r="I211" i="5" s="1"/>
  <c r="I212" i="5" s="1"/>
  <c r="X60" i="12"/>
  <c r="X64" i="12"/>
  <c r="Y50" i="12"/>
  <c r="AA62" i="12"/>
  <c r="AA66" i="12"/>
  <c r="X61" i="12"/>
  <c r="X65" i="12"/>
  <c r="Y41" i="12"/>
  <c r="AC41" i="12" s="1"/>
  <c r="AA59" i="12"/>
  <c r="AA63" i="12"/>
  <c r="Z41" i="12"/>
  <c r="AB41" i="12" s="1"/>
  <c r="AA64" i="12"/>
  <c r="X62" i="12"/>
  <c r="X66" i="12"/>
  <c r="Y31" i="12"/>
  <c r="AC31" i="12" s="1"/>
  <c r="AA60" i="12"/>
  <c r="Z31" i="12"/>
  <c r="AB31" i="12" s="1"/>
  <c r="X63" i="12"/>
  <c r="X59" i="12"/>
  <c r="AA61" i="12"/>
  <c r="AA65" i="12"/>
  <c r="Z50" i="12"/>
  <c r="C16" i="9"/>
  <c r="D16" i="9" s="1"/>
  <c r="C11" i="9"/>
  <c r="D11" i="9" s="1"/>
  <c r="E11" i="10" s="1"/>
  <c r="Q9" i="9"/>
  <c r="T11" i="7"/>
  <c r="G22" i="7"/>
  <c r="H11" i="10" l="1"/>
  <c r="P11" i="10"/>
  <c r="G11" i="9"/>
  <c r="H11" i="9" s="1"/>
  <c r="H274" i="5"/>
  <c r="H275" i="5" s="1"/>
  <c r="H276" i="5" s="1"/>
  <c r="H277" i="5" s="1"/>
  <c r="H269" i="5"/>
  <c r="H270" i="5" s="1"/>
  <c r="J237" i="5"/>
  <c r="J241" i="5"/>
  <c r="K236" i="5"/>
  <c r="H263" i="5"/>
  <c r="H264" i="5" s="1"/>
  <c r="H266" i="5" s="1"/>
  <c r="I239" i="5"/>
  <c r="I238" i="5"/>
  <c r="I273" i="5" s="1"/>
  <c r="I240" i="5"/>
  <c r="I255" i="5" s="1"/>
  <c r="I256" i="5" s="1"/>
  <c r="I257" i="5" s="1"/>
  <c r="I258" i="5" s="1"/>
  <c r="G268" i="5"/>
  <c r="G271" i="5" s="1"/>
  <c r="G279" i="5" s="1"/>
  <c r="G267" i="5"/>
  <c r="I243" i="5"/>
  <c r="I242" i="5"/>
  <c r="I244" i="5"/>
  <c r="I259" i="5" s="1"/>
  <c r="I260" i="5" s="1"/>
  <c r="I261" i="5" s="1"/>
  <c r="I262" i="5" s="1"/>
  <c r="I224" i="5"/>
  <c r="I225" i="5" s="1"/>
  <c r="I226" i="5" s="1"/>
  <c r="I227" i="5" s="1"/>
  <c r="J166" i="5"/>
  <c r="J167" i="5" s="1"/>
  <c r="J118" i="5"/>
  <c r="J119" i="5" s="1"/>
  <c r="J120" i="5" s="1"/>
  <c r="J121" i="5" s="1"/>
  <c r="AF29" i="12"/>
  <c r="AH29" i="12" s="1"/>
  <c r="AD41" i="12"/>
  <c r="AD31" i="12"/>
  <c r="J113" i="5"/>
  <c r="L134" i="5"/>
  <c r="M133" i="5"/>
  <c r="L138" i="5"/>
  <c r="X53" i="12"/>
  <c r="X57" i="12"/>
  <c r="Y40" i="12"/>
  <c r="AC40" i="12" s="1"/>
  <c r="AA55" i="12"/>
  <c r="X54" i="12"/>
  <c r="X58" i="12"/>
  <c r="Y30" i="12"/>
  <c r="AC30" i="12" s="1"/>
  <c r="AA52" i="12"/>
  <c r="AA56" i="12"/>
  <c r="AA53" i="12"/>
  <c r="AA57" i="12"/>
  <c r="Z30" i="12"/>
  <c r="AB30" i="12" s="1"/>
  <c r="X51" i="12"/>
  <c r="X55" i="12"/>
  <c r="X50" i="12"/>
  <c r="AC50" i="12" s="1"/>
  <c r="AA51" i="12"/>
  <c r="X52" i="12"/>
  <c r="X56" i="12"/>
  <c r="AA50" i="12"/>
  <c r="AB50" i="12" s="1"/>
  <c r="AA54" i="12"/>
  <c r="AA58" i="12"/>
  <c r="Z40" i="12"/>
  <c r="AB40" i="12" s="1"/>
  <c r="I213" i="5"/>
  <c r="I214" i="5" s="1"/>
  <c r="I216" i="5" s="1"/>
  <c r="J193" i="5"/>
  <c r="J194" i="5"/>
  <c r="J209" i="5" s="1"/>
  <c r="J210" i="5" s="1"/>
  <c r="J211" i="5" s="1"/>
  <c r="J212" i="5" s="1"/>
  <c r="J192" i="5"/>
  <c r="K87" i="5"/>
  <c r="K86" i="5"/>
  <c r="K88" i="5"/>
  <c r="K103" i="5" s="1"/>
  <c r="K104" i="5" s="1"/>
  <c r="K105" i="5" s="1"/>
  <c r="K106" i="5" s="1"/>
  <c r="J171" i="5"/>
  <c r="J172" i="5" s="1"/>
  <c r="J173" i="5" s="1"/>
  <c r="J174" i="5" s="1"/>
  <c r="K137" i="5"/>
  <c r="K152" i="5" s="1"/>
  <c r="K153" i="5" s="1"/>
  <c r="K154" i="5" s="1"/>
  <c r="K155" i="5" s="1"/>
  <c r="K136" i="5"/>
  <c r="K135" i="5"/>
  <c r="K170" i="5" s="1"/>
  <c r="X69" i="12"/>
  <c r="X73" i="12"/>
  <c r="Y42" i="12"/>
  <c r="AC42" i="12" s="1"/>
  <c r="AA67" i="12"/>
  <c r="AA71" i="12"/>
  <c r="Z51" i="12"/>
  <c r="X70" i="12"/>
  <c r="X67" i="12"/>
  <c r="Y32" i="12"/>
  <c r="AC32" i="12" s="1"/>
  <c r="AA68" i="12"/>
  <c r="AA72" i="12"/>
  <c r="Z42" i="12"/>
  <c r="AB42" i="12" s="1"/>
  <c r="AA73" i="12"/>
  <c r="X71" i="12"/>
  <c r="Y59" i="12"/>
  <c r="AC59" i="12" s="1"/>
  <c r="AA69" i="12"/>
  <c r="Z32" i="12"/>
  <c r="AB32" i="12" s="1"/>
  <c r="X68" i="12"/>
  <c r="X72" i="12"/>
  <c r="Y51" i="12"/>
  <c r="AA70" i="12"/>
  <c r="Z59" i="12"/>
  <c r="AB59" i="12" s="1"/>
  <c r="J114" i="5"/>
  <c r="J190" i="5"/>
  <c r="J205" i="5" s="1"/>
  <c r="J206" i="5" s="1"/>
  <c r="J207" i="5" s="1"/>
  <c r="J208" i="5" s="1"/>
  <c r="J188" i="5"/>
  <c r="J223" i="5" s="1"/>
  <c r="J189" i="5"/>
  <c r="H218" i="5"/>
  <c r="H221" i="5" s="1"/>
  <c r="H229" i="5" s="1"/>
  <c r="H217" i="5"/>
  <c r="L81" i="5"/>
  <c r="L85" i="5"/>
  <c r="M80" i="5"/>
  <c r="J107" i="5"/>
  <c r="J108" i="5" s="1"/>
  <c r="J110" i="5" s="1"/>
  <c r="I165" i="5"/>
  <c r="I168" i="5" s="1"/>
  <c r="I176" i="5" s="1"/>
  <c r="I164" i="5"/>
  <c r="I112" i="5"/>
  <c r="I115" i="5" s="1"/>
  <c r="I123" i="5" s="1"/>
  <c r="G22" i="2" s="1"/>
  <c r="I111" i="5"/>
  <c r="I219" i="5"/>
  <c r="I220" i="5" s="1"/>
  <c r="G21" i="2"/>
  <c r="L186" i="5"/>
  <c r="K187" i="5"/>
  <c r="K191" i="5"/>
  <c r="J160" i="5"/>
  <c r="J161" i="5" s="1"/>
  <c r="J163" i="5" s="1"/>
  <c r="K140" i="5"/>
  <c r="K139" i="5"/>
  <c r="K141" i="5"/>
  <c r="K156" i="5" s="1"/>
  <c r="K157" i="5" s="1"/>
  <c r="K158" i="5" s="1"/>
  <c r="K159" i="5" s="1"/>
  <c r="K83" i="5"/>
  <c r="K84" i="5"/>
  <c r="K99" i="5" s="1"/>
  <c r="K100" i="5" s="1"/>
  <c r="K101" i="5" s="1"/>
  <c r="K102" i="5" s="1"/>
  <c r="K82" i="5"/>
  <c r="K117" i="5" s="1"/>
  <c r="E12" i="10"/>
  <c r="H12" i="10" s="1"/>
  <c r="G16" i="9"/>
  <c r="T12" i="7"/>
  <c r="J11" i="10"/>
  <c r="E14" i="10"/>
  <c r="H14" i="10" l="1"/>
  <c r="P14" i="10"/>
  <c r="T14" i="7"/>
  <c r="T15" i="7" s="1"/>
  <c r="K118" i="5"/>
  <c r="K119" i="5" s="1"/>
  <c r="K120" i="5" s="1"/>
  <c r="K121" i="5" s="1"/>
  <c r="I274" i="5"/>
  <c r="I275" i="5" s="1"/>
  <c r="I276" i="5" s="1"/>
  <c r="I277" i="5" s="1"/>
  <c r="I269" i="5"/>
  <c r="I270" i="5" s="1"/>
  <c r="J238" i="5"/>
  <c r="J273" i="5" s="1"/>
  <c r="J240" i="5"/>
  <c r="J255" i="5" s="1"/>
  <c r="J256" i="5" s="1"/>
  <c r="J257" i="5" s="1"/>
  <c r="J258" i="5" s="1"/>
  <c r="J239" i="5"/>
  <c r="H268" i="5"/>
  <c r="H271" i="5" s="1"/>
  <c r="H279" i="5" s="1"/>
  <c r="H267" i="5"/>
  <c r="I263" i="5"/>
  <c r="I264" i="5" s="1"/>
  <c r="I266" i="5" s="1"/>
  <c r="K241" i="5"/>
  <c r="K237" i="5"/>
  <c r="L236" i="5"/>
  <c r="J242" i="5"/>
  <c r="J244" i="5"/>
  <c r="J259" i="5" s="1"/>
  <c r="J260" i="5" s="1"/>
  <c r="J261" i="5" s="1"/>
  <c r="J262" i="5" s="1"/>
  <c r="J243" i="5"/>
  <c r="J219" i="5"/>
  <c r="J220" i="5" s="1"/>
  <c r="K171" i="5"/>
  <c r="K172" i="5" s="1"/>
  <c r="K173" i="5" s="1"/>
  <c r="K174" i="5" s="1"/>
  <c r="AC51" i="12"/>
  <c r="AD59" i="12"/>
  <c r="AF59" i="12" s="1"/>
  <c r="AH59" i="12" s="1"/>
  <c r="AD42" i="12"/>
  <c r="AF42" i="12" s="1"/>
  <c r="AH42" i="12" s="1"/>
  <c r="AF41" i="12"/>
  <c r="AH41" i="12" s="1"/>
  <c r="AE41" i="12"/>
  <c r="L187" i="5"/>
  <c r="M186" i="5"/>
  <c r="L191" i="5"/>
  <c r="N80" i="5"/>
  <c r="M85" i="5"/>
  <c r="M81" i="5"/>
  <c r="AD30" i="12"/>
  <c r="AD40" i="12"/>
  <c r="L139" i="5"/>
  <c r="L141" i="5"/>
  <c r="L156" i="5" s="1"/>
  <c r="L157" i="5" s="1"/>
  <c r="L158" i="5" s="1"/>
  <c r="L159" i="5" s="1"/>
  <c r="L140" i="5"/>
  <c r="J164" i="5"/>
  <c r="J165" i="5"/>
  <c r="J168" i="5" s="1"/>
  <c r="J176" i="5" s="1"/>
  <c r="L87" i="5"/>
  <c r="L86" i="5"/>
  <c r="L88" i="5"/>
  <c r="L103" i="5" s="1"/>
  <c r="L104" i="5" s="1"/>
  <c r="L105" i="5" s="1"/>
  <c r="L106" i="5" s="1"/>
  <c r="I218" i="5"/>
  <c r="I221" i="5" s="1"/>
  <c r="I229" i="5" s="1"/>
  <c r="I217" i="5"/>
  <c r="N133" i="5"/>
  <c r="M134" i="5"/>
  <c r="M138" i="5"/>
  <c r="AF31" i="12"/>
  <c r="AH31" i="12" s="1"/>
  <c r="AE31" i="12"/>
  <c r="J111" i="5"/>
  <c r="J112" i="5"/>
  <c r="J115" i="5" s="1"/>
  <c r="J123" i="5" s="1"/>
  <c r="K107" i="5"/>
  <c r="K108" i="5" s="1"/>
  <c r="K110" i="5" s="1"/>
  <c r="K194" i="5"/>
  <c r="K209" i="5" s="1"/>
  <c r="K210" i="5" s="1"/>
  <c r="K211" i="5" s="1"/>
  <c r="K212" i="5" s="1"/>
  <c r="K192" i="5"/>
  <c r="K193" i="5"/>
  <c r="W103" i="12"/>
  <c r="J22" i="2"/>
  <c r="L22" i="2"/>
  <c r="H22" i="2"/>
  <c r="L82" i="5"/>
  <c r="L117" i="5" s="1"/>
  <c r="L84" i="5"/>
  <c r="L99" i="5" s="1"/>
  <c r="L100" i="5" s="1"/>
  <c r="L101" i="5" s="1"/>
  <c r="L102" i="5" s="1"/>
  <c r="L83" i="5"/>
  <c r="J224" i="5"/>
  <c r="J225" i="5" s="1"/>
  <c r="J226" i="5" s="1"/>
  <c r="J227" i="5" s="1"/>
  <c r="AB51" i="12"/>
  <c r="K166" i="5"/>
  <c r="K167" i="5" s="1"/>
  <c r="L137" i="5"/>
  <c r="L152" i="5" s="1"/>
  <c r="L153" i="5" s="1"/>
  <c r="L154" i="5" s="1"/>
  <c r="L155" i="5" s="1"/>
  <c r="L135" i="5"/>
  <c r="L170" i="5" s="1"/>
  <c r="L136" i="5"/>
  <c r="K113" i="5"/>
  <c r="K114" i="5" s="1"/>
  <c r="K189" i="5"/>
  <c r="K190" i="5"/>
  <c r="K205" i="5" s="1"/>
  <c r="K206" i="5" s="1"/>
  <c r="K207" i="5" s="1"/>
  <c r="K208" i="5" s="1"/>
  <c r="K188" i="5"/>
  <c r="K223" i="5" s="1"/>
  <c r="J21" i="2"/>
  <c r="W102" i="12"/>
  <c r="L21" i="2"/>
  <c r="H21" i="2"/>
  <c r="J213" i="5"/>
  <c r="J214" i="5" s="1"/>
  <c r="J216" i="5" s="1"/>
  <c r="AD32" i="12"/>
  <c r="K160" i="5"/>
  <c r="K161" i="5" s="1"/>
  <c r="K163" i="5" s="1"/>
  <c r="AD50" i="12"/>
  <c r="AF50" i="12" s="1"/>
  <c r="AH50" i="12" s="1"/>
  <c r="H16" i="9"/>
  <c r="P12" i="10"/>
  <c r="J12" i="10"/>
  <c r="J14" i="10"/>
  <c r="J263" i="5" l="1"/>
  <c r="J264" i="5" s="1"/>
  <c r="J266" i="5" s="1"/>
  <c r="J268" i="5" s="1"/>
  <c r="I14" i="7"/>
  <c r="I13" i="7"/>
  <c r="AE42" i="12"/>
  <c r="J267" i="5"/>
  <c r="L241" i="5"/>
  <c r="M236" i="5"/>
  <c r="L237" i="5"/>
  <c r="J274" i="5"/>
  <c r="J275" i="5" s="1"/>
  <c r="J276" i="5" s="1"/>
  <c r="J277" i="5" s="1"/>
  <c r="K239" i="5"/>
  <c r="K238" i="5"/>
  <c r="K273" i="5" s="1"/>
  <c r="K240" i="5"/>
  <c r="K255" i="5" s="1"/>
  <c r="K256" i="5" s="1"/>
  <c r="K257" i="5" s="1"/>
  <c r="K258" i="5" s="1"/>
  <c r="L107" i="5"/>
  <c r="L108" i="5" s="1"/>
  <c r="L110" i="5" s="1"/>
  <c r="L111" i="5" s="1"/>
  <c r="K242" i="5"/>
  <c r="K244" i="5"/>
  <c r="K259" i="5" s="1"/>
  <c r="K260" i="5" s="1"/>
  <c r="K261" i="5" s="1"/>
  <c r="K262" i="5" s="1"/>
  <c r="K243" i="5"/>
  <c r="J269" i="5"/>
  <c r="J270" i="5" s="1"/>
  <c r="J271" i="5" s="1"/>
  <c r="J279" i="5" s="1"/>
  <c r="I268" i="5"/>
  <c r="I271" i="5" s="1"/>
  <c r="I279" i="5" s="1"/>
  <c r="I267" i="5"/>
  <c r="L171" i="5"/>
  <c r="L172" i="5" s="1"/>
  <c r="L173" i="5" s="1"/>
  <c r="L174" i="5" s="1"/>
  <c r="K224" i="5"/>
  <c r="K225" i="5" s="1"/>
  <c r="K226" i="5" s="1"/>
  <c r="K227" i="5" s="1"/>
  <c r="E35" i="12"/>
  <c r="U35" i="12" s="1"/>
  <c r="X81" i="12" s="1"/>
  <c r="AD51" i="12"/>
  <c r="AF51" i="12" s="1"/>
  <c r="AH51" i="12" s="1"/>
  <c r="AE59" i="12"/>
  <c r="K164" i="5"/>
  <c r="K165" i="5"/>
  <c r="K168" i="5" s="1"/>
  <c r="K176" i="5" s="1"/>
  <c r="K219" i="5"/>
  <c r="K220" i="5" s="1"/>
  <c r="L166" i="5"/>
  <c r="L167" i="5" s="1"/>
  <c r="L118" i="5"/>
  <c r="L119" i="5" s="1"/>
  <c r="L120" i="5" s="1"/>
  <c r="L121" i="5" s="1"/>
  <c r="M139" i="5"/>
  <c r="M141" i="5"/>
  <c r="M156" i="5" s="1"/>
  <c r="M157" i="5" s="1"/>
  <c r="M158" i="5" s="1"/>
  <c r="M159" i="5" s="1"/>
  <c r="M140" i="5"/>
  <c r="AF30" i="12"/>
  <c r="AH30" i="12" s="1"/>
  <c r="AE30" i="12"/>
  <c r="M87" i="5"/>
  <c r="M86" i="5"/>
  <c r="M88" i="5"/>
  <c r="M103" i="5" s="1"/>
  <c r="M104" i="5" s="1"/>
  <c r="M105" i="5" s="1"/>
  <c r="M106" i="5" s="1"/>
  <c r="L194" i="5"/>
  <c r="L209" i="5" s="1"/>
  <c r="L210" i="5" s="1"/>
  <c r="L211" i="5" s="1"/>
  <c r="L212" i="5" s="1"/>
  <c r="L192" i="5"/>
  <c r="L193" i="5"/>
  <c r="AF32" i="12"/>
  <c r="AH32" i="12" s="1"/>
  <c r="AE32" i="12"/>
  <c r="E34" i="12"/>
  <c r="K112" i="5"/>
  <c r="K115" i="5" s="1"/>
  <c r="K123" i="5" s="1"/>
  <c r="G24" i="2" s="1"/>
  <c r="K111" i="5"/>
  <c r="M137" i="5"/>
  <c r="M152" i="5" s="1"/>
  <c r="M153" i="5" s="1"/>
  <c r="M154" i="5" s="1"/>
  <c r="M155" i="5" s="1"/>
  <c r="M135" i="5"/>
  <c r="M170" i="5" s="1"/>
  <c r="M136" i="5"/>
  <c r="AE50" i="12"/>
  <c r="N81" i="5"/>
  <c r="N85" i="5"/>
  <c r="N186" i="5"/>
  <c r="M187" i="5"/>
  <c r="M191" i="5"/>
  <c r="J217" i="5"/>
  <c r="J218" i="5"/>
  <c r="J221" i="5" s="1"/>
  <c r="J229" i="5" s="1"/>
  <c r="K213" i="5"/>
  <c r="K214" i="5" s="1"/>
  <c r="K216" i="5" s="1"/>
  <c r="L160" i="5"/>
  <c r="L161" i="5" s="1"/>
  <c r="L163" i="5" s="1"/>
  <c r="L113" i="5"/>
  <c r="L114" i="5" s="1"/>
  <c r="N134" i="5"/>
  <c r="N138" i="5"/>
  <c r="L188" i="5"/>
  <c r="L223" i="5" s="1"/>
  <c r="L190" i="5"/>
  <c r="L205" i="5" s="1"/>
  <c r="L206" i="5" s="1"/>
  <c r="L207" i="5" s="1"/>
  <c r="L208" i="5" s="1"/>
  <c r="L189" i="5"/>
  <c r="G23" i="2"/>
  <c r="AE40" i="12"/>
  <c r="AF40" i="12"/>
  <c r="AH40" i="12" s="1"/>
  <c r="M82" i="5"/>
  <c r="M117" i="5" s="1"/>
  <c r="M84" i="5"/>
  <c r="M99" i="5" s="1"/>
  <c r="M100" i="5" s="1"/>
  <c r="M101" i="5" s="1"/>
  <c r="M102" i="5" s="1"/>
  <c r="M83" i="5"/>
  <c r="L112" i="5" l="1"/>
  <c r="Y61" i="12"/>
  <c r="AC61" i="12" s="1"/>
  <c r="Y34" i="12"/>
  <c r="AC34" i="12" s="1"/>
  <c r="Y68" i="12"/>
  <c r="AC68" i="12" s="1"/>
  <c r="Y44" i="12"/>
  <c r="AC44" i="12" s="1"/>
  <c r="Y74" i="12"/>
  <c r="Y53" i="12"/>
  <c r="AC53" i="12" s="1"/>
  <c r="X84" i="12"/>
  <c r="Z68" i="12"/>
  <c r="AB68" i="12" s="1"/>
  <c r="AA80" i="12"/>
  <c r="Z61" i="12"/>
  <c r="AB61" i="12" s="1"/>
  <c r="Z44" i="12"/>
  <c r="AB44" i="12" s="1"/>
  <c r="Z34" i="12"/>
  <c r="AB34" i="12" s="1"/>
  <c r="AA83" i="12"/>
  <c r="M113" i="5"/>
  <c r="K263" i="5"/>
  <c r="K264" i="5" s="1"/>
  <c r="K266" i="5" s="1"/>
  <c r="K267" i="5" s="1"/>
  <c r="L219" i="5"/>
  <c r="L220" i="5" s="1"/>
  <c r="L242" i="5"/>
  <c r="L244" i="5"/>
  <c r="L259" i="5" s="1"/>
  <c r="L260" i="5" s="1"/>
  <c r="L261" i="5" s="1"/>
  <c r="L262" i="5" s="1"/>
  <c r="L243" i="5"/>
  <c r="K274" i="5"/>
  <c r="K275" i="5" s="1"/>
  <c r="K276" i="5" s="1"/>
  <c r="K277" i="5" s="1"/>
  <c r="L238" i="5"/>
  <c r="L273" i="5" s="1"/>
  <c r="L240" i="5"/>
  <c r="L255" i="5" s="1"/>
  <c r="L256" i="5" s="1"/>
  <c r="L257" i="5" s="1"/>
  <c r="L258" i="5" s="1"/>
  <c r="L239" i="5"/>
  <c r="K269" i="5"/>
  <c r="K270" i="5" s="1"/>
  <c r="M241" i="5"/>
  <c r="M237" i="5"/>
  <c r="N236" i="5"/>
  <c r="M171" i="5"/>
  <c r="M172" i="5" s="1"/>
  <c r="M173" i="5" s="1"/>
  <c r="M174" i="5" s="1"/>
  <c r="M160" i="5"/>
  <c r="M161" i="5" s="1"/>
  <c r="M163" i="5" s="1"/>
  <c r="M165" i="5" s="1"/>
  <c r="AA82" i="12"/>
  <c r="X82" i="12"/>
  <c r="AA81" i="12"/>
  <c r="X80" i="12"/>
  <c r="Z53" i="12"/>
  <c r="AB53" i="12" s="1"/>
  <c r="X83" i="12"/>
  <c r="Z74" i="12"/>
  <c r="AA84" i="12"/>
  <c r="AE51" i="12"/>
  <c r="N137" i="5"/>
  <c r="N152" i="5" s="1"/>
  <c r="N153" i="5" s="1"/>
  <c r="N154" i="5" s="1"/>
  <c r="N155" i="5" s="1"/>
  <c r="N136" i="5"/>
  <c r="N135" i="5"/>
  <c r="N170" i="5" s="1"/>
  <c r="K218" i="5"/>
  <c r="K221" i="5" s="1"/>
  <c r="K229" i="5" s="1"/>
  <c r="K217" i="5"/>
  <c r="M190" i="5"/>
  <c r="M205" i="5" s="1"/>
  <c r="M206" i="5" s="1"/>
  <c r="M207" i="5" s="1"/>
  <c r="M208" i="5" s="1"/>
  <c r="M188" i="5"/>
  <c r="M223" i="5" s="1"/>
  <c r="M189" i="5"/>
  <c r="J23" i="2"/>
  <c r="L23" i="2"/>
  <c r="W104" i="12"/>
  <c r="H23" i="2"/>
  <c r="M107" i="5"/>
  <c r="M108" i="5" s="1"/>
  <c r="M110" i="5" s="1"/>
  <c r="L213" i="5"/>
  <c r="L214" i="5" s="1"/>
  <c r="L216" i="5" s="1"/>
  <c r="L165" i="5"/>
  <c r="L168" i="5" s="1"/>
  <c r="L176" i="5" s="1"/>
  <c r="L164" i="5"/>
  <c r="N87" i="5"/>
  <c r="N86" i="5"/>
  <c r="N88" i="5"/>
  <c r="N103" i="5" s="1"/>
  <c r="N104" i="5" s="1"/>
  <c r="N105" i="5" s="1"/>
  <c r="N106" i="5" s="1"/>
  <c r="M166" i="5"/>
  <c r="M167" i="5" s="1"/>
  <c r="W105" i="12"/>
  <c r="L24" i="2"/>
  <c r="J24" i="2"/>
  <c r="H24" i="2"/>
  <c r="M164" i="5"/>
  <c r="N187" i="5"/>
  <c r="N191" i="5"/>
  <c r="M118" i="5"/>
  <c r="M119" i="5" s="1"/>
  <c r="M120" i="5" s="1"/>
  <c r="M121" i="5" s="1"/>
  <c r="L224" i="5"/>
  <c r="L225" i="5" s="1"/>
  <c r="L226" i="5" s="1"/>
  <c r="L227" i="5" s="1"/>
  <c r="N141" i="5"/>
  <c r="N156" i="5" s="1"/>
  <c r="N157" i="5" s="1"/>
  <c r="N158" i="5" s="1"/>
  <c r="N159" i="5" s="1"/>
  <c r="N140" i="5"/>
  <c r="N139" i="5"/>
  <c r="M193" i="5"/>
  <c r="M194" i="5"/>
  <c r="M209" i="5" s="1"/>
  <c r="M210" i="5" s="1"/>
  <c r="M211" i="5" s="1"/>
  <c r="M212" i="5" s="1"/>
  <c r="M192" i="5"/>
  <c r="N84" i="5"/>
  <c r="N99" i="5" s="1"/>
  <c r="N100" i="5" s="1"/>
  <c r="N101" i="5" s="1"/>
  <c r="N102" i="5" s="1"/>
  <c r="N82" i="5"/>
  <c r="N117" i="5" s="1"/>
  <c r="N83" i="5"/>
  <c r="U34" i="12"/>
  <c r="M114" i="5"/>
  <c r="L115" i="5"/>
  <c r="L123" i="5" s="1"/>
  <c r="G25" i="2" s="1"/>
  <c r="AD34" i="12" l="1"/>
  <c r="AE34" i="12" s="1"/>
  <c r="AD61" i="12"/>
  <c r="AF61" i="12" s="1"/>
  <c r="AH61" i="12" s="1"/>
  <c r="AD68" i="12"/>
  <c r="AF68" i="12" s="1"/>
  <c r="AH68" i="12" s="1"/>
  <c r="AD44" i="12"/>
  <c r="AE44" i="12" s="1"/>
  <c r="AD53" i="12"/>
  <c r="K268" i="5"/>
  <c r="K271" i="5" s="1"/>
  <c r="K279" i="5" s="1"/>
  <c r="L263" i="5"/>
  <c r="L264" i="5" s="1"/>
  <c r="L266" i="5" s="1"/>
  <c r="L267" i="5" s="1"/>
  <c r="N107" i="5"/>
  <c r="N108" i="5" s="1"/>
  <c r="N110" i="5" s="1"/>
  <c r="M224" i="5"/>
  <c r="M225" i="5" s="1"/>
  <c r="M226" i="5" s="1"/>
  <c r="M227" i="5" s="1"/>
  <c r="N171" i="5"/>
  <c r="N172" i="5" s="1"/>
  <c r="N173" i="5" s="1"/>
  <c r="N174" i="5" s="1"/>
  <c r="M242" i="5"/>
  <c r="M244" i="5"/>
  <c r="M259" i="5" s="1"/>
  <c r="M260" i="5" s="1"/>
  <c r="M261" i="5" s="1"/>
  <c r="M262" i="5" s="1"/>
  <c r="M243" i="5"/>
  <c r="L269" i="5"/>
  <c r="L270" i="5" s="1"/>
  <c r="N241" i="5"/>
  <c r="N237" i="5"/>
  <c r="L274" i="5"/>
  <c r="L275" i="5" s="1"/>
  <c r="L276" i="5" s="1"/>
  <c r="L277" i="5" s="1"/>
  <c r="N160" i="5"/>
  <c r="N161" i="5" s="1"/>
  <c r="N163" i="5" s="1"/>
  <c r="N165" i="5" s="1"/>
  <c r="M239" i="5"/>
  <c r="M238" i="5"/>
  <c r="M273" i="5" s="1"/>
  <c r="M240" i="5"/>
  <c r="M255" i="5" s="1"/>
  <c r="M256" i="5" s="1"/>
  <c r="M257" i="5" s="1"/>
  <c r="M258" i="5" s="1"/>
  <c r="E36" i="12"/>
  <c r="U36" i="12" s="1"/>
  <c r="X86" i="12" s="1"/>
  <c r="E37" i="12"/>
  <c r="U37" i="12" s="1"/>
  <c r="Z36" i="12" s="1"/>
  <c r="AB36" i="12" s="1"/>
  <c r="L218" i="5"/>
  <c r="L221" i="5" s="1"/>
  <c r="L229" i="5" s="1"/>
  <c r="L217" i="5"/>
  <c r="M213" i="5"/>
  <c r="M214" i="5" s="1"/>
  <c r="M216" i="5" s="1"/>
  <c r="N166" i="5"/>
  <c r="N167" i="5" s="1"/>
  <c r="N113" i="5"/>
  <c r="N193" i="5"/>
  <c r="N194" i="5"/>
  <c r="N209" i="5" s="1"/>
  <c r="N210" i="5" s="1"/>
  <c r="N211" i="5" s="1"/>
  <c r="N212" i="5" s="1"/>
  <c r="N192" i="5"/>
  <c r="J25" i="2"/>
  <c r="W106" i="12"/>
  <c r="L25" i="2"/>
  <c r="H25" i="2"/>
  <c r="X77" i="12"/>
  <c r="Y67" i="12"/>
  <c r="AC67" i="12" s="1"/>
  <c r="Y33" i="12"/>
  <c r="AC33" i="12" s="1"/>
  <c r="AA74" i="12"/>
  <c r="AB74" i="12" s="1"/>
  <c r="Z60" i="12"/>
  <c r="AB60" i="12" s="1"/>
  <c r="X78" i="12"/>
  <c r="Y60" i="12"/>
  <c r="AC60" i="12" s="1"/>
  <c r="AA75" i="12"/>
  <c r="AA79" i="12"/>
  <c r="Z52" i="12"/>
  <c r="AB52" i="12" s="1"/>
  <c r="AA76" i="12"/>
  <c r="Z43" i="12"/>
  <c r="AB43" i="12" s="1"/>
  <c r="X75" i="12"/>
  <c r="X79" i="12"/>
  <c r="Y52" i="12"/>
  <c r="AC52" i="12" s="1"/>
  <c r="X76" i="12"/>
  <c r="X74" i="12"/>
  <c r="Y43" i="12"/>
  <c r="AC43" i="12" s="1"/>
  <c r="AA77" i="12"/>
  <c r="Z33" i="12"/>
  <c r="AB33" i="12" s="1"/>
  <c r="AA78" i="12"/>
  <c r="Z67" i="12"/>
  <c r="AB67" i="12" s="1"/>
  <c r="N118" i="5"/>
  <c r="N119" i="5" s="1"/>
  <c r="N120" i="5" s="1"/>
  <c r="N121" i="5" s="1"/>
  <c r="N190" i="5"/>
  <c r="N205" i="5" s="1"/>
  <c r="N206" i="5" s="1"/>
  <c r="N207" i="5" s="1"/>
  <c r="N208" i="5" s="1"/>
  <c r="N188" i="5"/>
  <c r="N223" i="5" s="1"/>
  <c r="N189" i="5"/>
  <c r="N114" i="5"/>
  <c r="M111" i="5"/>
  <c r="M112" i="5"/>
  <c r="M115" i="5" s="1"/>
  <c r="M123" i="5" s="1"/>
  <c r="G26" i="2" s="1"/>
  <c r="M219" i="5"/>
  <c r="M220" i="5" s="1"/>
  <c r="N112" i="5"/>
  <c r="N111" i="5"/>
  <c r="M168" i="5"/>
  <c r="M176" i="5" s="1"/>
  <c r="Z30" i="2" s="1"/>
  <c r="Y76" i="12"/>
  <c r="Y45" i="12"/>
  <c r="AC45" i="12" s="1"/>
  <c r="Y55" i="12" l="1"/>
  <c r="AC55" i="12" s="1"/>
  <c r="Z63" i="12"/>
  <c r="AB63" i="12" s="1"/>
  <c r="Y70" i="12"/>
  <c r="AC70" i="12" s="1"/>
  <c r="Y63" i="12"/>
  <c r="AC63" i="12" s="1"/>
  <c r="AF34" i="12"/>
  <c r="AH34" i="12" s="1"/>
  <c r="Y35" i="12"/>
  <c r="AC35" i="12" s="1"/>
  <c r="AE68" i="12"/>
  <c r="Y54" i="12"/>
  <c r="AC54" i="12" s="1"/>
  <c r="AE61" i="12"/>
  <c r="AA91" i="12"/>
  <c r="Y85" i="12"/>
  <c r="Y46" i="12"/>
  <c r="AC46" i="12" s="1"/>
  <c r="Y81" i="12"/>
  <c r="AC81" i="12" s="1"/>
  <c r="Y36" i="12"/>
  <c r="AC36" i="12" s="1"/>
  <c r="AD36" i="12" s="1"/>
  <c r="AE36" i="12" s="1"/>
  <c r="AF44" i="12"/>
  <c r="AH44" i="12" s="1"/>
  <c r="Y69" i="12"/>
  <c r="AC69" i="12" s="1"/>
  <c r="Y80" i="12"/>
  <c r="AC80" i="12" s="1"/>
  <c r="Y62" i="12"/>
  <c r="AC62" i="12" s="1"/>
  <c r="Y75" i="12"/>
  <c r="AC75" i="12" s="1"/>
  <c r="AD60" i="12"/>
  <c r="AF60" i="12" s="1"/>
  <c r="AH60" i="12" s="1"/>
  <c r="AF53" i="12"/>
  <c r="AH53" i="12" s="1"/>
  <c r="AE53" i="12"/>
  <c r="Z46" i="12"/>
  <c r="AB46" i="12" s="1"/>
  <c r="Z69" i="12"/>
  <c r="AB69" i="12" s="1"/>
  <c r="N164" i="5"/>
  <c r="L268" i="5"/>
  <c r="L271" i="5" s="1"/>
  <c r="L279" i="5" s="1"/>
  <c r="Z35" i="12"/>
  <c r="AB35" i="12" s="1"/>
  <c r="AD35" i="12" s="1"/>
  <c r="M263" i="5"/>
  <c r="M264" i="5" s="1"/>
  <c r="M266" i="5" s="1"/>
  <c r="M267" i="5" s="1"/>
  <c r="M274" i="5"/>
  <c r="M275" i="5" s="1"/>
  <c r="M276" i="5" s="1"/>
  <c r="M277" i="5" s="1"/>
  <c r="N238" i="5"/>
  <c r="N273" i="5" s="1"/>
  <c r="N240" i="5"/>
  <c r="N255" i="5" s="1"/>
  <c r="N256" i="5" s="1"/>
  <c r="N257" i="5" s="1"/>
  <c r="N258" i="5" s="1"/>
  <c r="N239" i="5"/>
  <c r="M269" i="5"/>
  <c r="M270" i="5" s="1"/>
  <c r="N242" i="5"/>
  <c r="N244" i="5"/>
  <c r="N259" i="5" s="1"/>
  <c r="N260" i="5" s="1"/>
  <c r="N261" i="5" s="1"/>
  <c r="N262" i="5" s="1"/>
  <c r="N243" i="5"/>
  <c r="N224" i="5"/>
  <c r="N225" i="5" s="1"/>
  <c r="N226" i="5" s="1"/>
  <c r="N227" i="5" s="1"/>
  <c r="Z45" i="12"/>
  <c r="AB45" i="12" s="1"/>
  <c r="AD45" i="12" s="1"/>
  <c r="AA85" i="12"/>
  <c r="X85" i="12"/>
  <c r="AA86" i="12"/>
  <c r="Z62" i="12"/>
  <c r="AB62" i="12" s="1"/>
  <c r="AA88" i="12"/>
  <c r="Z75" i="12"/>
  <c r="AB75" i="12" s="1"/>
  <c r="AA87" i="12"/>
  <c r="X87" i="12"/>
  <c r="Z54" i="12"/>
  <c r="AB54" i="12" s="1"/>
  <c r="X88" i="12"/>
  <c r="Z55" i="12"/>
  <c r="AB55" i="12" s="1"/>
  <c r="X91" i="12"/>
  <c r="AA90" i="12"/>
  <c r="Z80" i="12"/>
  <c r="AB80" i="12" s="1"/>
  <c r="E38" i="12"/>
  <c r="U38" i="12" s="1"/>
  <c r="Z81" i="12"/>
  <c r="AB81" i="12" s="1"/>
  <c r="X90" i="12"/>
  <c r="AA89" i="12"/>
  <c r="X89" i="12"/>
  <c r="Z85" i="12"/>
  <c r="N115" i="5"/>
  <c r="N123" i="5" s="1"/>
  <c r="G27" i="2" s="1"/>
  <c r="Z70" i="12"/>
  <c r="AB70" i="12" s="1"/>
  <c r="Z76" i="12"/>
  <c r="AB76" i="12" s="1"/>
  <c r="AD43" i="12"/>
  <c r="AF43" i="12" s="1"/>
  <c r="AH43" i="12" s="1"/>
  <c r="N219" i="5"/>
  <c r="N220" i="5" s="1"/>
  <c r="AC74" i="12"/>
  <c r="AD74" i="12" s="1"/>
  <c r="AF74" i="12" s="1"/>
  <c r="AH74" i="12" s="1"/>
  <c r="AB30" i="2"/>
  <c r="AA30" i="2"/>
  <c r="W107" i="12"/>
  <c r="J26" i="2"/>
  <c r="L26" i="2"/>
  <c r="H26" i="2"/>
  <c r="AC76" i="12"/>
  <c r="N213" i="5"/>
  <c r="N214" i="5" s="1"/>
  <c r="N216" i="5" s="1"/>
  <c r="AD52" i="12"/>
  <c r="AD33" i="12"/>
  <c r="N168" i="5"/>
  <c r="N176" i="5" s="1"/>
  <c r="Z31" i="2" s="1"/>
  <c r="M217" i="5"/>
  <c r="M218" i="5"/>
  <c r="M221" i="5" s="1"/>
  <c r="M229" i="5" s="1"/>
  <c r="AG30" i="2" s="1"/>
  <c r="AD67" i="12"/>
  <c r="AD46" i="12" l="1"/>
  <c r="AF46" i="12" s="1"/>
  <c r="AH46" i="12" s="1"/>
  <c r="AD70" i="12"/>
  <c r="AF70" i="12" s="1"/>
  <c r="AH70" i="12" s="1"/>
  <c r="AC85" i="12"/>
  <c r="AD63" i="12"/>
  <c r="AE63" i="12" s="1"/>
  <c r="AD55" i="12"/>
  <c r="AE55" i="12" s="1"/>
  <c r="AD69" i="12"/>
  <c r="AF69" i="12" s="1"/>
  <c r="AH69" i="12" s="1"/>
  <c r="AE60" i="12"/>
  <c r="AD81" i="12"/>
  <c r="AF81" i="12" s="1"/>
  <c r="AH81" i="12" s="1"/>
  <c r="AD54" i="12"/>
  <c r="AF54" i="12" s="1"/>
  <c r="AH54" i="12" s="1"/>
  <c r="AF63" i="12"/>
  <c r="AH63" i="12" s="1"/>
  <c r="AD62" i="12"/>
  <c r="AE62" i="12" s="1"/>
  <c r="AD76" i="12"/>
  <c r="AF76" i="12" s="1"/>
  <c r="AH76" i="12" s="1"/>
  <c r="AB85" i="12"/>
  <c r="AD85" i="12" s="1"/>
  <c r="AD80" i="12"/>
  <c r="AF80" i="12" s="1"/>
  <c r="AH80" i="12" s="1"/>
  <c r="AD75" i="12"/>
  <c r="AF75" i="12" s="1"/>
  <c r="AH75" i="12" s="1"/>
  <c r="M268" i="5"/>
  <c r="M271" i="5" s="1"/>
  <c r="M279" i="5" s="1"/>
  <c r="AN30" i="2" s="1"/>
  <c r="N263" i="5"/>
  <c r="N264" i="5" s="1"/>
  <c r="N266" i="5" s="1"/>
  <c r="N267" i="5" s="1"/>
  <c r="O176" i="5"/>
  <c r="N274" i="5"/>
  <c r="N275" i="5" s="1"/>
  <c r="N276" i="5" s="1"/>
  <c r="N277" i="5" s="1"/>
  <c r="N269" i="5"/>
  <c r="N270" i="5" s="1"/>
  <c r="AF36" i="12"/>
  <c r="AH36" i="12" s="1"/>
  <c r="AE43" i="12"/>
  <c r="O123" i="5"/>
  <c r="AE74" i="12"/>
  <c r="AH30" i="2"/>
  <c r="AI30" i="2"/>
  <c r="AF67" i="12"/>
  <c r="AH67" i="12" s="1"/>
  <c r="AE67" i="12"/>
  <c r="E39" i="12"/>
  <c r="AE81" i="12"/>
  <c r="AF45" i="12"/>
  <c r="AH45" i="12" s="1"/>
  <c r="AE45" i="12"/>
  <c r="AA31" i="2"/>
  <c r="O17" i="2" s="1"/>
  <c r="AB31" i="2"/>
  <c r="AF52" i="12"/>
  <c r="AH52" i="12" s="1"/>
  <c r="AE52" i="12"/>
  <c r="J27" i="2"/>
  <c r="L27" i="2"/>
  <c r="W108" i="12"/>
  <c r="H27" i="2"/>
  <c r="G28" i="2"/>
  <c r="X92" i="12"/>
  <c r="Y56" i="12"/>
  <c r="AC56" i="12" s="1"/>
  <c r="Z82" i="12"/>
  <c r="AB82" i="12" s="1"/>
  <c r="Z47" i="12"/>
  <c r="AB47" i="12" s="1"/>
  <c r="Y77" i="12"/>
  <c r="AC77" i="12" s="1"/>
  <c r="Y47" i="12"/>
  <c r="AC47" i="12" s="1"/>
  <c r="Z37" i="12"/>
  <c r="AB37" i="12" s="1"/>
  <c r="Z86" i="12"/>
  <c r="AB86" i="12" s="1"/>
  <c r="Z64" i="12"/>
  <c r="AB64" i="12" s="1"/>
  <c r="Y89" i="12"/>
  <c r="AC89" i="12" s="1"/>
  <c r="Y71" i="12"/>
  <c r="AC71" i="12" s="1"/>
  <c r="Y37" i="12"/>
  <c r="AC37" i="12" s="1"/>
  <c r="AA92" i="12"/>
  <c r="Z77" i="12"/>
  <c r="AB77" i="12" s="1"/>
  <c r="Z89" i="12"/>
  <c r="AB89" i="12" s="1"/>
  <c r="X93" i="12"/>
  <c r="Y86" i="12"/>
  <c r="AC86" i="12" s="1"/>
  <c r="Y64" i="12"/>
  <c r="AC64" i="12" s="1"/>
  <c r="AA93" i="12"/>
  <c r="Z56" i="12"/>
  <c r="AB56" i="12" s="1"/>
  <c r="Y82" i="12"/>
  <c r="AC82" i="12" s="1"/>
  <c r="Z71" i="12"/>
  <c r="AB71" i="12" s="1"/>
  <c r="AF33" i="12"/>
  <c r="AH33" i="12" s="1"/>
  <c r="AE33" i="12"/>
  <c r="N218" i="5"/>
  <c r="N221" i="5" s="1"/>
  <c r="N229" i="5" s="1"/>
  <c r="N217" i="5"/>
  <c r="Z32" i="2"/>
  <c r="AF35" i="12"/>
  <c r="AH35" i="12" s="1"/>
  <c r="AE35" i="12"/>
  <c r="AE70" i="12" l="1"/>
  <c r="AF55" i="12"/>
  <c r="AH55" i="12" s="1"/>
  <c r="AE46" i="12"/>
  <c r="N268" i="5"/>
  <c r="AE69" i="12"/>
  <c r="AE54" i="12"/>
  <c r="AE80" i="12"/>
  <c r="AF62" i="12"/>
  <c r="AH62" i="12" s="1"/>
  <c r="AD82" i="12"/>
  <c r="AE82" i="12" s="1"/>
  <c r="AE76" i="12"/>
  <c r="AE75" i="12"/>
  <c r="N271" i="5"/>
  <c r="N279" i="5" s="1"/>
  <c r="AN31" i="2" s="1"/>
  <c r="AO31" i="2" s="1"/>
  <c r="AP30" i="2"/>
  <c r="AO30" i="2"/>
  <c r="AD86" i="12"/>
  <c r="AF86" i="12" s="1"/>
  <c r="AH86" i="12" s="1"/>
  <c r="AD77" i="12"/>
  <c r="AF77" i="12" s="1"/>
  <c r="AH77" i="12" s="1"/>
  <c r="AD71" i="12"/>
  <c r="AE71" i="12" s="1"/>
  <c r="AD47" i="12"/>
  <c r="AE47" i="12" s="1"/>
  <c r="AG31" i="2"/>
  <c r="O229" i="5"/>
  <c r="AF85" i="12"/>
  <c r="AH85" i="12" s="1"/>
  <c r="AE85" i="12"/>
  <c r="AD37" i="12"/>
  <c r="N17" i="2"/>
  <c r="P17" i="2"/>
  <c r="E40" i="12"/>
  <c r="U40" i="12" s="1"/>
  <c r="S21" i="2"/>
  <c r="D19" i="4" s="1"/>
  <c r="AD64" i="12"/>
  <c r="AD89" i="12"/>
  <c r="AD56" i="12"/>
  <c r="U39" i="12"/>
  <c r="S17" i="2" l="1"/>
  <c r="R17" i="2" s="1"/>
  <c r="AF82" i="12"/>
  <c r="AH82" i="12" s="1"/>
  <c r="O279" i="5"/>
  <c r="AN32" i="2"/>
  <c r="AP31" i="2"/>
  <c r="AE86" i="12"/>
  <c r="U10" i="12"/>
  <c r="V10" i="12" s="1"/>
  <c r="K9" i="12" s="1"/>
  <c r="AF71" i="12"/>
  <c r="AH71" i="12" s="1"/>
  <c r="AE77" i="12"/>
  <c r="AF47" i="12"/>
  <c r="AH47" i="12" s="1"/>
  <c r="AF89" i="12"/>
  <c r="AH89" i="12" s="1"/>
  <c r="AE89" i="12"/>
  <c r="AF56" i="12"/>
  <c r="AH56" i="12" s="1"/>
  <c r="AE56" i="12"/>
  <c r="AF64" i="12"/>
  <c r="AH64" i="12" s="1"/>
  <c r="AE64" i="12"/>
  <c r="Y94" i="12"/>
  <c r="Y84" i="12"/>
  <c r="AC84" i="12" s="1"/>
  <c r="Y58" i="12"/>
  <c r="AC58" i="12" s="1"/>
  <c r="Z91" i="12"/>
  <c r="AB91" i="12" s="1"/>
  <c r="Z84" i="12"/>
  <c r="AB84" i="12" s="1"/>
  <c r="Z73" i="12"/>
  <c r="AB73" i="12" s="1"/>
  <c r="Z49" i="12"/>
  <c r="AB49" i="12" s="1"/>
  <c r="Z39" i="12"/>
  <c r="AB39" i="12" s="1"/>
  <c r="Y93" i="12"/>
  <c r="AC93" i="12" s="1"/>
  <c r="Y79" i="12"/>
  <c r="AC79" i="12" s="1"/>
  <c r="Y49" i="12"/>
  <c r="AC49" i="12" s="1"/>
  <c r="Y91" i="12"/>
  <c r="AC91" i="12" s="1"/>
  <c r="AD91" i="12" s="1"/>
  <c r="Y73" i="12"/>
  <c r="AC73" i="12" s="1"/>
  <c r="Y39" i="12"/>
  <c r="AC39" i="12" s="1"/>
  <c r="Z93" i="12"/>
  <c r="AB93" i="12" s="1"/>
  <c r="Z88" i="12"/>
  <c r="AB88" i="12" s="1"/>
  <c r="Z79" i="12"/>
  <c r="AB79" i="12" s="1"/>
  <c r="Z66" i="12"/>
  <c r="AB66" i="12" s="1"/>
  <c r="Z94" i="12"/>
  <c r="Y88" i="12"/>
  <c r="AC88" i="12" s="1"/>
  <c r="AD88" i="12" s="1"/>
  <c r="Y66" i="12"/>
  <c r="AC66" i="12" s="1"/>
  <c r="Z58" i="12"/>
  <c r="AB58" i="12" s="1"/>
  <c r="AF37" i="12"/>
  <c r="AH37" i="12" s="1"/>
  <c r="AE37" i="12"/>
  <c r="X94" i="12"/>
  <c r="Y90" i="12"/>
  <c r="AC90" i="12" s="1"/>
  <c r="Y38" i="12"/>
  <c r="AC38" i="12" s="1"/>
  <c r="Z87" i="12"/>
  <c r="AB87" i="12" s="1"/>
  <c r="Z65" i="12"/>
  <c r="AB65" i="12" s="1"/>
  <c r="Y87" i="12"/>
  <c r="AC87" i="12" s="1"/>
  <c r="Y65" i="12"/>
  <c r="AC65" i="12" s="1"/>
  <c r="Z57" i="12"/>
  <c r="AB57" i="12" s="1"/>
  <c r="Y57" i="12"/>
  <c r="AC57" i="12" s="1"/>
  <c r="Z90" i="12"/>
  <c r="AB90" i="12" s="1"/>
  <c r="Z72" i="12"/>
  <c r="AB72" i="12" s="1"/>
  <c r="Y83" i="12"/>
  <c r="AC83" i="12" s="1"/>
  <c r="Z83" i="12"/>
  <c r="AB83" i="12" s="1"/>
  <c r="Z48" i="12"/>
  <c r="AB48" i="12" s="1"/>
  <c r="Y92" i="12"/>
  <c r="AC92" i="12" s="1"/>
  <c r="Y78" i="12"/>
  <c r="AC78" i="12" s="1"/>
  <c r="Y48" i="12"/>
  <c r="AC48" i="12" s="1"/>
  <c r="AA94" i="12"/>
  <c r="Z38" i="12"/>
  <c r="AB38" i="12" s="1"/>
  <c r="Y72" i="12"/>
  <c r="AC72" i="12" s="1"/>
  <c r="Z78" i="12"/>
  <c r="AB78" i="12" s="1"/>
  <c r="Z92" i="12"/>
  <c r="AB92" i="12" s="1"/>
  <c r="K13" i="12"/>
  <c r="T21" i="2"/>
  <c r="V21" i="4"/>
  <c r="V20" i="3"/>
  <c r="C20" i="3" s="1"/>
  <c r="R21" i="2"/>
  <c r="S21" i="4" s="1"/>
  <c r="U21" i="4" s="1"/>
  <c r="AH31" i="2"/>
  <c r="O21" i="2" s="1"/>
  <c r="AI31" i="2"/>
  <c r="AG32" i="2"/>
  <c r="AD49" i="12" l="1"/>
  <c r="AE49" i="12" s="1"/>
  <c r="AG49" i="12" s="1"/>
  <c r="T17" i="2"/>
  <c r="AG77" i="12"/>
  <c r="D20" i="3"/>
  <c r="AD48" i="12"/>
  <c r="AE48" i="12" s="1"/>
  <c r="AG48" i="12" s="1"/>
  <c r="AD92" i="12"/>
  <c r="AE92" i="12" s="1"/>
  <c r="AG92" i="12" s="1"/>
  <c r="AD57" i="12"/>
  <c r="AF57" i="12" s="1"/>
  <c r="AH57" i="12" s="1"/>
  <c r="AD65" i="12"/>
  <c r="AE65" i="12" s="1"/>
  <c r="AG65" i="12" s="1"/>
  <c r="AD87" i="12"/>
  <c r="AF87" i="12" s="1"/>
  <c r="AH87" i="12" s="1"/>
  <c r="AD39" i="12"/>
  <c r="AE39" i="12" s="1"/>
  <c r="AG39" i="12" s="1"/>
  <c r="AD79" i="12"/>
  <c r="AF79" i="12" s="1"/>
  <c r="AH79" i="12" s="1"/>
  <c r="AD84" i="12"/>
  <c r="AF84" i="12" s="1"/>
  <c r="AH84" i="12" s="1"/>
  <c r="AG86" i="12"/>
  <c r="W21" i="4"/>
  <c r="AG47" i="12"/>
  <c r="AD72" i="12"/>
  <c r="AD78" i="12"/>
  <c r="AD83" i="12"/>
  <c r="AG82" i="12"/>
  <c r="AB94" i="12"/>
  <c r="AF49" i="12"/>
  <c r="AH49" i="12" s="1"/>
  <c r="AD58" i="12"/>
  <c r="AD38" i="12"/>
  <c r="AG37" i="12"/>
  <c r="AG56" i="12"/>
  <c r="N21" i="2"/>
  <c r="P21" i="2"/>
  <c r="K29" i="12"/>
  <c r="K33" i="12"/>
  <c r="K37" i="12"/>
  <c r="M13" i="12"/>
  <c r="K34" i="12"/>
  <c r="K38" i="12"/>
  <c r="K30" i="12"/>
  <c r="K31" i="12"/>
  <c r="K35" i="12"/>
  <c r="K39" i="12"/>
  <c r="K32" i="12"/>
  <c r="K36" i="12"/>
  <c r="K40" i="12"/>
  <c r="AG29" i="12"/>
  <c r="AG41" i="12"/>
  <c r="AG42" i="12"/>
  <c r="AG31" i="12"/>
  <c r="AG59" i="12"/>
  <c r="AG51" i="12"/>
  <c r="AG40" i="12"/>
  <c r="AG32" i="12"/>
  <c r="AG50" i="12"/>
  <c r="AG30" i="12"/>
  <c r="AG61" i="12"/>
  <c r="AG34" i="12"/>
  <c r="AG53" i="12"/>
  <c r="AG44" i="12"/>
  <c r="AG68" i="12"/>
  <c r="AG43" i="12"/>
  <c r="AG70" i="12"/>
  <c r="AG62" i="12"/>
  <c r="AG75" i="12"/>
  <c r="AG55" i="12"/>
  <c r="AG54" i="12"/>
  <c r="AG74" i="12"/>
  <c r="AG60" i="12"/>
  <c r="AG36" i="12"/>
  <c r="AG69" i="12"/>
  <c r="AG46" i="12"/>
  <c r="AG63" i="12"/>
  <c r="AG33" i="12"/>
  <c r="AG76" i="12"/>
  <c r="AG67" i="12"/>
  <c r="AG35" i="12"/>
  <c r="AG52" i="12"/>
  <c r="AG45" i="12"/>
  <c r="AG81" i="12"/>
  <c r="AG80" i="12"/>
  <c r="AD90" i="12"/>
  <c r="AD66" i="12"/>
  <c r="AD73" i="12"/>
  <c r="AD93" i="12"/>
  <c r="AC94" i="12"/>
  <c r="AG71" i="12"/>
  <c r="J20" i="3"/>
  <c r="H27" i="3"/>
  <c r="I11" i="3" s="1"/>
  <c r="T27" i="3"/>
  <c r="V27" i="3"/>
  <c r="AG85" i="12"/>
  <c r="AF88" i="12"/>
  <c r="AH88" i="12" s="1"/>
  <c r="AE88" i="12"/>
  <c r="AG88" i="12" s="1"/>
  <c r="AF91" i="12"/>
  <c r="AH91" i="12" s="1"/>
  <c r="AE91" i="12"/>
  <c r="AG91" i="12" s="1"/>
  <c r="AG64" i="12"/>
  <c r="AG89" i="12"/>
  <c r="W27" i="3" l="1"/>
  <c r="K27" i="3" s="1"/>
  <c r="U27" i="3"/>
  <c r="J27" i="3" s="1"/>
  <c r="AD94" i="12"/>
  <c r="AF94" i="12" s="1"/>
  <c r="AH94" i="12" s="1"/>
  <c r="AI94" i="12" s="1"/>
  <c r="AF48" i="12"/>
  <c r="AH48" i="12" s="1"/>
  <c r="F19" i="4"/>
  <c r="H19" i="4" s="1"/>
  <c r="AE57" i="12"/>
  <c r="AG57" i="12" s="1"/>
  <c r="AF92" i="12"/>
  <c r="AH92" i="12" s="1"/>
  <c r="AF39" i="12"/>
  <c r="AH39" i="12" s="1"/>
  <c r="AE87" i="12"/>
  <c r="AG87" i="12" s="1"/>
  <c r="AJ85" i="12" s="1"/>
  <c r="AE84" i="12"/>
  <c r="AG84" i="12" s="1"/>
  <c r="AF65" i="12"/>
  <c r="AH65" i="12" s="1"/>
  <c r="I27" i="3"/>
  <c r="AE79" i="12"/>
  <c r="AG79" i="12" s="1"/>
  <c r="AF66" i="12"/>
  <c r="AH66" i="12" s="1"/>
  <c r="AE66" i="12"/>
  <c r="AG66" i="12" s="1"/>
  <c r="AJ59" i="12" s="1"/>
  <c r="AF72" i="12"/>
  <c r="AH72" i="12" s="1"/>
  <c r="AE72" i="12"/>
  <c r="AG72" i="12" s="1"/>
  <c r="AF93" i="12"/>
  <c r="AH93" i="12" s="1"/>
  <c r="AE93" i="12"/>
  <c r="AG93" i="12" s="1"/>
  <c r="AJ92" i="12" s="1"/>
  <c r="AF90" i="12"/>
  <c r="AH90" i="12" s="1"/>
  <c r="AI89" i="12" s="1"/>
  <c r="AE90" i="12"/>
  <c r="AG90" i="12" s="1"/>
  <c r="AJ89" i="12" s="1"/>
  <c r="AJ40" i="12"/>
  <c r="AF58" i="12"/>
  <c r="AH58" i="12" s="1"/>
  <c r="AI50" i="12" s="1"/>
  <c r="AE58" i="12"/>
  <c r="AG58" i="12" s="1"/>
  <c r="AF73" i="12"/>
  <c r="AH73" i="12" s="1"/>
  <c r="AE73" i="12"/>
  <c r="AG73" i="12" s="1"/>
  <c r="AF38" i="12"/>
  <c r="AH38" i="12" s="1"/>
  <c r="AE38" i="12"/>
  <c r="AG38" i="12" s="1"/>
  <c r="AJ29" i="12" s="1"/>
  <c r="AF83" i="12"/>
  <c r="AH83" i="12" s="1"/>
  <c r="AI80" i="12" s="1"/>
  <c r="AE83" i="12"/>
  <c r="AG83" i="12" s="1"/>
  <c r="AI85" i="12"/>
  <c r="AI40" i="12"/>
  <c r="AF78" i="12"/>
  <c r="AH78" i="12" s="1"/>
  <c r="AI74" i="12" s="1"/>
  <c r="AE78" i="12"/>
  <c r="AG78" i="12" s="1"/>
  <c r="AE94" i="12" l="1"/>
  <c r="AG94" i="12" s="1"/>
  <c r="AJ94" i="12" s="1"/>
  <c r="AK94" i="12" s="1"/>
  <c r="AL94" i="12" s="1"/>
  <c r="AJ50" i="12"/>
  <c r="AK50" i="12" s="1"/>
  <c r="AL50" i="12" s="1"/>
  <c r="I10" i="3"/>
  <c r="I12" i="3"/>
  <c r="AI29" i="12"/>
  <c r="AK29" i="12" s="1"/>
  <c r="AL29" i="12" s="1"/>
  <c r="AI92" i="12"/>
  <c r="AK92" i="12" s="1"/>
  <c r="AL92" i="12" s="1"/>
  <c r="AM92" i="12" s="1"/>
  <c r="AI59" i="12"/>
  <c r="AK59" i="12" s="1"/>
  <c r="AL59" i="12" s="1"/>
  <c r="AJ80" i="12"/>
  <c r="AK80" i="12" s="1"/>
  <c r="AL80" i="12" s="1"/>
  <c r="AJ74" i="12"/>
  <c r="AK74" i="12" s="1"/>
  <c r="AL74" i="12" s="1"/>
  <c r="AK40" i="12"/>
  <c r="AL40" i="12" s="1"/>
  <c r="AM40" i="12" s="1"/>
  <c r="AJ67" i="12"/>
  <c r="AK85" i="12"/>
  <c r="AL85" i="12" s="1"/>
  <c r="AN85" i="12" s="1"/>
  <c r="AQ85" i="12" s="1"/>
  <c r="AK89" i="12"/>
  <c r="AL89" i="12" s="1"/>
  <c r="AI67" i="12"/>
  <c r="AN94" i="12" l="1"/>
  <c r="AQ94" i="12" s="1"/>
  <c r="AM94" i="12"/>
  <c r="AN40" i="12"/>
  <c r="AQ40" i="12" s="1"/>
  <c r="AK67" i="12"/>
  <c r="AL67" i="12" s="1"/>
  <c r="AM67" i="12" s="1"/>
  <c r="AN92" i="12"/>
  <c r="AQ92" i="12" s="1"/>
  <c r="AM85" i="12"/>
  <c r="AO85" i="12" s="1"/>
  <c r="AN59" i="12"/>
  <c r="AQ59" i="12" s="1"/>
  <c r="AM59" i="12"/>
  <c r="AN29" i="12"/>
  <c r="AQ29" i="12" s="1"/>
  <c r="AM29" i="12"/>
  <c r="AM50" i="12"/>
  <c r="AN50" i="12"/>
  <c r="AQ50" i="12" s="1"/>
  <c r="AP92" i="12"/>
  <c r="AP40" i="12"/>
  <c r="AN89" i="12"/>
  <c r="AQ89" i="12" s="1"/>
  <c r="AM89" i="12"/>
  <c r="AM80" i="12"/>
  <c r="AN80" i="12"/>
  <c r="AQ80" i="12" s="1"/>
  <c r="AM74" i="12"/>
  <c r="AN74" i="12"/>
  <c r="AQ74" i="12" s="1"/>
  <c r="AO94" i="12" l="1"/>
  <c r="AP94" i="12"/>
  <c r="AO92" i="12"/>
  <c r="AO40" i="12"/>
  <c r="AN67" i="12"/>
  <c r="AQ67" i="12" s="1"/>
  <c r="AP85" i="12"/>
  <c r="AO80" i="12"/>
  <c r="AP80" i="12"/>
  <c r="AP50" i="12"/>
  <c r="AO50" i="12"/>
  <c r="AP67" i="12"/>
  <c r="AP89" i="12"/>
  <c r="AO89" i="12"/>
  <c r="AO29" i="12"/>
  <c r="AP29" i="12"/>
  <c r="AP59" i="12"/>
  <c r="AO59" i="12"/>
  <c r="AO74" i="12"/>
  <c r="AP74" i="12"/>
  <c r="AO67" i="12" l="1"/>
  <c r="X10" i="12" s="1"/>
  <c r="X12" i="12"/>
  <c r="X11" i="12" l="1"/>
  <c r="K19" i="12" s="1"/>
  <c r="X13" i="12"/>
  <c r="K25" i="12" s="1"/>
  <c r="K17" i="12"/>
  <c r="K16" i="12"/>
  <c r="K23" i="12"/>
  <c r="K22" i="12"/>
  <c r="K26" i="12" l="1"/>
  <c r="R31" i="12" s="1"/>
  <c r="K20" i="12"/>
  <c r="P37" i="12" s="1"/>
  <c r="N32" i="12"/>
  <c r="M16" i="12"/>
  <c r="N33" i="12"/>
  <c r="N37" i="12"/>
  <c r="N29" i="12"/>
  <c r="N30" i="12"/>
  <c r="N34" i="12"/>
  <c r="N38" i="12"/>
  <c r="N36" i="12"/>
  <c r="N31" i="12"/>
  <c r="N35" i="12"/>
  <c r="N39" i="12"/>
  <c r="N40" i="12"/>
  <c r="Q30" i="12"/>
  <c r="Q34" i="12"/>
  <c r="Q31" i="12"/>
  <c r="Q35" i="12"/>
  <c r="Q39" i="12"/>
  <c r="Q32" i="12"/>
  <c r="Q36" i="12"/>
  <c r="Q40" i="12"/>
  <c r="M22" i="12"/>
  <c r="P10" i="12" s="1"/>
  <c r="Q33" i="12"/>
  <c r="Q37" i="12"/>
  <c r="Q29" i="12"/>
  <c r="Q38" i="12"/>
  <c r="P31" i="12" l="1"/>
  <c r="P29" i="12"/>
  <c r="P32" i="12"/>
  <c r="P38" i="12"/>
  <c r="M19" i="12"/>
  <c r="P11" i="12" s="1"/>
  <c r="P33" i="12"/>
  <c r="P34" i="12"/>
  <c r="P36" i="12"/>
  <c r="P39" i="12"/>
  <c r="P40" i="12"/>
  <c r="P35" i="12"/>
  <c r="P30" i="12"/>
  <c r="M25" i="12"/>
  <c r="P9" i="12" s="1"/>
  <c r="R39" i="12"/>
  <c r="R30" i="12"/>
  <c r="R29" i="12"/>
  <c r="R40" i="12"/>
  <c r="R35" i="12"/>
  <c r="R38" i="12"/>
  <c r="R37" i="12"/>
  <c r="R36" i="12"/>
  <c r="R34" i="12"/>
  <c r="R33" i="12"/>
  <c r="R32" i="12"/>
</calcChain>
</file>

<file path=xl/comments1.xml><?xml version="1.0" encoding="utf-8"?>
<comments xmlns="http://schemas.openxmlformats.org/spreadsheetml/2006/main">
  <authors>
    <author>Juan José Navarro</author>
  </authors>
  <commentList>
    <comment ref="J10" authorId="0">
      <text>
        <r>
          <rPr>
            <sz val="8"/>
            <color indexed="81"/>
            <rFont val="Tahoma"/>
            <family val="2"/>
          </rPr>
          <t xml:space="preserve">inversor dc/ac 0,8
converter dc/dc 0,85
</t>
        </r>
      </text>
    </comment>
  </commentList>
</comments>
</file>

<file path=xl/comments2.xml><?xml version="1.0" encoding="utf-8"?>
<comments xmlns="http://schemas.openxmlformats.org/spreadsheetml/2006/main">
  <authors>
    <author>Juan José Navarro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waliki:</t>
        </r>
        <r>
          <rPr>
            <sz val="8"/>
            <color indexed="81"/>
            <rFont val="Tahoma"/>
            <family val="2"/>
          </rPr>
          <t xml:space="preserve">
Tipo de batería   Valor defecto
plomo antimonio      0,8
plomo calcio           0,6
niquel cadmio          0,9</t>
        </r>
      </text>
    </comment>
  </commentList>
</comments>
</file>

<file path=xl/comments3.xml><?xml version="1.0" encoding="utf-8"?>
<comments xmlns="http://schemas.openxmlformats.org/spreadsheetml/2006/main">
  <authors>
    <author>David Bullejos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David Bullejos:</t>
        </r>
        <r>
          <rPr>
            <sz val="9"/>
            <color indexed="81"/>
            <rFont val="Tahoma"/>
            <family val="2"/>
          </rPr>
          <t xml:space="preserve">
1: senoidal
2: modified
3: square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David Bullejos:</t>
        </r>
        <r>
          <rPr>
            <sz val="9"/>
            <color indexed="81"/>
            <rFont val="Tahoma"/>
            <family val="2"/>
          </rPr>
          <t xml:space="preserve">
1:24
2:48
3:120
4:240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David Bullejos:</t>
        </r>
        <r>
          <rPr>
            <sz val="9"/>
            <color indexed="81"/>
            <rFont val="Tahoma"/>
            <family val="2"/>
          </rPr>
          <t xml:space="preserve">
1:120
2:130
3:220
4:230</t>
        </r>
      </text>
    </comment>
  </commentList>
</comments>
</file>

<file path=xl/comments4.xml><?xml version="1.0" encoding="utf-8"?>
<comments xmlns="http://schemas.openxmlformats.org/spreadsheetml/2006/main">
  <authors>
    <author xml:space="preserve"> navarro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 xml:space="preserve"> waliki:</t>
        </r>
        <r>
          <rPr>
            <sz val="8"/>
            <color indexed="81"/>
            <rFont val="Tahoma"/>
            <family val="2"/>
          </rPr>
          <t xml:space="preserve">
Se recomienda que en cualquier tramo de la instalación las caídas de tensión sean inferiores al 1,5%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waliki:</t>
        </r>
        <r>
          <rPr>
            <sz val="8"/>
            <color indexed="81"/>
            <rFont val="Tahoma"/>
            <family val="2"/>
          </rPr>
          <t xml:space="preserve">
Si el cable va a trabajar a más de 40ºC consultar tabla 7 ITC_BT_06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>waliki:</t>
        </r>
        <r>
          <rPr>
            <sz val="8"/>
            <color indexed="81"/>
            <rFont val="Tahoma"/>
            <family val="2"/>
          </rPr>
          <t xml:space="preserve">
Si va a haber más de un conductor, consultar Tabla 6 ITC_BT_06</t>
        </r>
      </text>
    </comment>
  </commentList>
</comments>
</file>

<file path=xl/comments5.xml><?xml version="1.0" encoding="utf-8"?>
<comments xmlns="http://schemas.openxmlformats.org/spreadsheetml/2006/main">
  <authors>
    <author>USUARIOS</author>
  </authors>
  <commentList>
    <comment ref="M19" authorId="0">
      <text>
        <r>
          <rPr>
            <b/>
            <sz val="8"/>
            <color indexed="81"/>
            <rFont val="Tahoma"/>
            <family val="2"/>
          </rPr>
          <t xml:space="preserve">waliki:
</t>
        </r>
        <r>
          <rPr>
            <sz val="8"/>
            <color indexed="81"/>
            <rFont val="Tahoma"/>
            <family val="2"/>
          </rPr>
          <t>Si #¡NUM! Significa que no hay más opciones.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<sst xmlns="http://schemas.openxmlformats.org/spreadsheetml/2006/main" count="751" uniqueCount="422">
  <si>
    <t>Latitud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</si>
  <si>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</si>
  <si>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</si>
  <si>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</si>
  <si>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</si>
  <si>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</si>
  <si>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</si>
  <si>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</si>
  <si>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</si>
  <si>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</si>
  <si>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Noviembre</t>
  </si>
  <si>
    <t>Diciembre</t>
  </si>
  <si>
    <t>Consumo 
Corregido
(Ah/día)</t>
  </si>
  <si>
    <t>Factor de 
corrección del
módulo</t>
  </si>
  <si>
    <t>Madrid</t>
  </si>
  <si>
    <t>N</t>
  </si>
  <si>
    <t>Sept.</t>
  </si>
  <si>
    <t>Oct.</t>
  </si>
  <si>
    <t>Nov.</t>
  </si>
  <si>
    <t>Dic.</t>
  </si>
  <si>
    <t>RAD</t>
  </si>
  <si>
    <t>SLT</t>
  </si>
  <si>
    <t>CLT</t>
  </si>
  <si>
    <t>TLT</t>
  </si>
  <si>
    <t>SLTINCL</t>
  </si>
  <si>
    <t>CLTINCL</t>
  </si>
  <si>
    <t>TLTINCL</t>
  </si>
  <si>
    <t>IOEXT</t>
  </si>
  <si>
    <t>PI.24IOEXT</t>
  </si>
  <si>
    <t>LATITUD             [ º ]</t>
  </si>
  <si>
    <t>Incl</t>
  </si>
  <si>
    <t>Incli Rad</t>
  </si>
  <si>
    <t>Sen Incli</t>
  </si>
  <si>
    <t>Cos Incli</t>
  </si>
  <si>
    <t>Lat</t>
  </si>
  <si>
    <t>Lat. Rad</t>
  </si>
  <si>
    <t>LT Incli Rad</t>
  </si>
  <si>
    <t>Cos 37.5</t>
  </si>
  <si>
    <t>Rad 23.45</t>
  </si>
  <si>
    <t>Rad 360</t>
  </si>
  <si>
    <t>D.Rad</t>
  </si>
  <si>
    <t>R</t>
  </si>
  <si>
    <t>SDE</t>
  </si>
  <si>
    <t>CDE</t>
  </si>
  <si>
    <t>W1</t>
  </si>
  <si>
    <t>W2</t>
  </si>
  <si>
    <t>W2.RAD</t>
  </si>
  <si>
    <t>H0</t>
  </si>
  <si>
    <t>K1</t>
  </si>
  <si>
    <t>K(I)</t>
  </si>
  <si>
    <t>H1</t>
  </si>
  <si>
    <t>H</t>
  </si>
  <si>
    <t>W1.Rad</t>
  </si>
  <si>
    <t>Radiación</t>
  </si>
  <si>
    <t>OM</t>
  </si>
  <si>
    <t>INVERSOR</t>
  </si>
  <si>
    <t>(V)</t>
  </si>
  <si>
    <t>(W)</t>
  </si>
  <si>
    <t>Intensidad
máxima AC
corregida</t>
  </si>
  <si>
    <t>Tensión máxima
AC (V)</t>
  </si>
  <si>
    <t>Regulador a consumo DC</t>
  </si>
  <si>
    <t>HORAS SOL PICO TOTALES:</t>
  </si>
  <si>
    <t>Vmp (V)</t>
  </si>
  <si>
    <t>Imp (A)</t>
  </si>
  <si>
    <t>Voc (V)</t>
  </si>
  <si>
    <t>Isc (A)</t>
  </si>
  <si>
    <t>Intensidad de 
diseño (A)</t>
  </si>
  <si>
    <t>NO</t>
  </si>
  <si>
    <t>SI</t>
  </si>
  <si>
    <t>MODIFICADA</t>
  </si>
  <si>
    <t>SENOIDAL PURA</t>
  </si>
  <si>
    <t>Temperaturas medias mensuales/anuales ºC 1.971-2000</t>
  </si>
  <si>
    <t>Máxima</t>
  </si>
  <si>
    <t>Coste</t>
  </si>
  <si>
    <t>Densidad de potencia</t>
  </si>
  <si>
    <t>f</t>
  </si>
  <si>
    <t>e</t>
  </si>
  <si>
    <t>m1</t>
  </si>
  <si>
    <t>n1</t>
  </si>
  <si>
    <t>n</t>
  </si>
  <si>
    <t>m</t>
  </si>
  <si>
    <t>n-m</t>
  </si>
  <si>
    <t>n1-m1</t>
  </si>
  <si>
    <t>Ángulo inclinación</t>
  </si>
  <si>
    <t>Enero-Febrero</t>
  </si>
  <si>
    <t>P(kWp)</t>
  </si>
  <si>
    <t>A(m2)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</si>
  <si>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</si>
  <si>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</si>
  <si>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</si>
  <si>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</si>
  <si>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</si>
  <si>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</si>
  <si>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</si>
  <si>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</si>
  <si>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</si>
  <si>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Enero-Diciembre</t>
  </si>
  <si>
    <t>Condicionantes Área</t>
  </si>
  <si>
    <t>Condicionantes Potencia</t>
  </si>
  <si>
    <t>Febrero-Marzo</t>
  </si>
  <si>
    <t>Min Área</t>
  </si>
  <si>
    <t>Máxima P</t>
  </si>
  <si>
    <t>Comprobación P</t>
  </si>
  <si>
    <t>Febrero-Abril</t>
  </si>
  <si>
    <t>Febrero-Mayo</t>
  </si>
  <si>
    <t>Febrero-Junio</t>
  </si>
  <si>
    <t>Febrero-Julio</t>
  </si>
  <si>
    <t>Febrero-Agosto</t>
  </si>
  <si>
    <t>Febrero-Septiembre</t>
  </si>
  <si>
    <t>Febrero-Octubre</t>
  </si>
  <si>
    <t>Febrero-Noviembre</t>
  </si>
  <si>
    <t>Febrero-Diciembre</t>
  </si>
  <si>
    <t>Marzo-Abril</t>
  </si>
  <si>
    <t>Marzo-Mayo</t>
  </si>
  <si>
    <t>Marzo-Junio</t>
  </si>
  <si>
    <t>Marzo-Julio</t>
  </si>
  <si>
    <t>Marzo-Agosto</t>
  </si>
  <si>
    <t>Marzo-Septiembre</t>
  </si>
  <si>
    <t>Marzo-Octubre</t>
  </si>
  <si>
    <t>Marzo-Noviembre</t>
  </si>
  <si>
    <t>Marzo-Diciembre</t>
  </si>
  <si>
    <t>Abril-Mayo</t>
  </si>
  <si>
    <t>Abril-Junio</t>
  </si>
  <si>
    <t>Abril-Julio</t>
  </si>
  <si>
    <t>Abril-Agosto</t>
  </si>
  <si>
    <t>Abril-Septiembre</t>
  </si>
  <si>
    <t>Abril-Octubre</t>
  </si>
  <si>
    <t>Abril-Noviembre</t>
  </si>
  <si>
    <t>Abril-Diciembre</t>
  </si>
  <si>
    <t>Mayo-Junio</t>
  </si>
  <si>
    <t>Mayo-Julio</t>
  </si>
  <si>
    <t>Mayo-Agosto</t>
  </si>
  <si>
    <t>Mayo-Septiembre</t>
  </si>
  <si>
    <t>Mayo-Octubre</t>
  </si>
  <si>
    <t>Mayo-Noviembre</t>
  </si>
  <si>
    <t>Mayo-Diciembre</t>
  </si>
  <si>
    <t>Junio-Julio</t>
  </si>
  <si>
    <t>Junio-Agosto</t>
  </si>
  <si>
    <t>Junio-Septiembre</t>
  </si>
  <si>
    <t>Junio-Octubre</t>
  </si>
  <si>
    <t>Junio-Noviembre</t>
  </si>
  <si>
    <t>Junio-Diciembre</t>
  </si>
  <si>
    <t>Julio-Agosto</t>
  </si>
  <si>
    <t>Julio-Septiembre</t>
  </si>
  <si>
    <t>Julio-Octubre</t>
  </si>
  <si>
    <t>Julio-Noviembre</t>
  </si>
  <si>
    <t>Julio-Diciembre</t>
  </si>
  <si>
    <t>Agosto-Septiembre</t>
  </si>
  <si>
    <t>Agosto-Octubre</t>
  </si>
  <si>
    <t>Agosto-Noviembre</t>
  </si>
  <si>
    <t>Agosto-Diciembre</t>
  </si>
  <si>
    <t>Septiembre-Octubre</t>
  </si>
  <si>
    <t>Septiembre-Noviembre</t>
  </si>
  <si>
    <t>Septiembre-Diciembre</t>
  </si>
  <si>
    <t>Octubre-Noviembre</t>
  </si>
  <si>
    <t>Octubre-Diciembre</t>
  </si>
  <si>
    <t>Noviembre-Diciembre</t>
  </si>
  <si>
    <t>FV (Kwp)</t>
  </si>
  <si>
    <t>(m2)</t>
  </si>
  <si>
    <t>Horas sol 
pico día</t>
  </si>
  <si>
    <t>CARGAS EN DC</t>
  </si>
  <si>
    <r>
      <t>C</t>
    </r>
    <r>
      <rPr>
        <b/>
        <sz val="10"/>
        <color theme="9" tint="-0.499984740745262"/>
        <rFont val="Calibri"/>
        <family val="2"/>
        <scheme val="minor"/>
      </rPr>
      <t>100</t>
    </r>
    <r>
      <rPr>
        <b/>
        <sz val="11"/>
        <color theme="9" tint="-0.499984740745262"/>
        <rFont val="Calibri"/>
        <family val="2"/>
        <scheme val="minor"/>
      </rPr>
      <t xml:space="preserve"> (Ah)</t>
    </r>
  </si>
  <si>
    <t>CUADRADA</t>
  </si>
  <si>
    <t>Intensidad 
máxima AC (A)</t>
  </si>
  <si>
    <t>SOLARTEC RC</t>
  </si>
  <si>
    <t>RC48-N</t>
  </si>
  <si>
    <t>Victron</t>
  </si>
  <si>
    <t>48/5000/70</t>
  </si>
  <si>
    <t>Valparaíso</t>
  </si>
  <si>
    <t>Arica</t>
  </si>
  <si>
    <t>Concepción</t>
  </si>
  <si>
    <t>Punta Arenas</t>
  </si>
  <si>
    <t>Project</t>
  </si>
  <si>
    <t>Engineer</t>
  </si>
  <si>
    <t>Location</t>
  </si>
  <si>
    <t>Date</t>
  </si>
  <si>
    <t>CALCULATION OF YEARLY AVERAGE CONSUMPTION</t>
  </si>
  <si>
    <t>LOAD DESCRIPTION</t>
  </si>
  <si>
    <t>Nº of Loads</t>
  </si>
  <si>
    <t>Current (A)</t>
  </si>
  <si>
    <t>Voltaje (V)</t>
  </si>
  <si>
    <t>AC Power
(W)</t>
  </si>
  <si>
    <t>AC LOADS</t>
  </si>
  <si>
    <t>Daily cycle
(hours/day)</t>
  </si>
  <si>
    <t>Week cycle
(days/week)</t>
  </si>
  <si>
    <t>Efficiency of
converssion</t>
  </si>
  <si>
    <t>Consumtion Amp-Hour
(Ah/day)</t>
  </si>
  <si>
    <t>Total Power
(W)</t>
  </si>
  <si>
    <t>Total Consumption (Ah/day)</t>
  </si>
  <si>
    <t>Total DC Power
(W)</t>
  </si>
  <si>
    <t>Total AC Power
(W)</t>
  </si>
  <si>
    <t>Peak current (A)</t>
  </si>
  <si>
    <t>Total consumption
Ah/day</t>
  </si>
  <si>
    <t>Wiring Efficiency factor</t>
  </si>
  <si>
    <t>Battery efficiency factor
de la batería</t>
  </si>
  <si>
    <t>Reviewed Total Consumption
(Ah/día)</t>
  </si>
  <si>
    <t>INTENSITY AND INCLINATION ANGLE</t>
  </si>
  <si>
    <t>Inclination angle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</si>
  <si>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</si>
  <si>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</si>
  <si>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</si>
  <si>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</si>
  <si>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</si>
  <si>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</si>
  <si>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</si>
  <si>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</si>
  <si>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</si>
  <si>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</si>
  <si>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</si>
  <si>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</si>
  <si>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</si>
  <si>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SOLAR PEAK HOURS:</t>
  </si>
  <si>
    <t>Solar Peak Hours per day</t>
  </si>
  <si>
    <t>Design current
(A)</t>
  </si>
  <si>
    <t>POLAND</t>
  </si>
  <si>
    <t>SPAIN</t>
  </si>
  <si>
    <t>UCRANIA</t>
  </si>
  <si>
    <t>Dec.</t>
  </si>
  <si>
    <t xml:space="preserve">HORIZONTAL   RADIATION                  kWh/m2/month                                                                                                                                                                                                     </t>
  </si>
  <si>
    <t>BATTERY ANALISYS</t>
  </si>
  <si>
    <t>INFORMATION OF BATTERY</t>
  </si>
  <si>
    <t>Manufacturer</t>
  </si>
  <si>
    <t>Model</t>
  </si>
  <si>
    <t>Type</t>
  </si>
  <si>
    <t>Total Consumption
Ah reviewed
(Ah/day)</t>
  </si>
  <si>
    <t>Nº of days of autonomy</t>
  </si>
  <si>
    <t>Max Discharge Deepth</t>
  </si>
  <si>
    <t>Correction for temperature</t>
  </si>
  <si>
    <t>Needed capacity of batteries (Ah)</t>
  </si>
  <si>
    <t>Capacity of selected battery (Ah)</t>
  </si>
  <si>
    <t>Recomended parallel batteries</t>
  </si>
  <si>
    <t>Selected parallel batteries</t>
  </si>
  <si>
    <t>Serial batteries</t>
  </si>
  <si>
    <t>Parallel batteries</t>
  </si>
  <si>
    <t>Nº of batteries</t>
  </si>
  <si>
    <t>Batteries in parallel</t>
  </si>
  <si>
    <t>Capacity of batteries
C100(Ah)</t>
  </si>
  <si>
    <t>Capacity of batteries system
(Ah)</t>
  </si>
  <si>
    <t>Stational discharge deepth factor</t>
  </si>
  <si>
    <t>Useful capacity (Ah)</t>
  </si>
  <si>
    <t>Real Daily average discharge deepth (%)</t>
  </si>
  <si>
    <t>Recuperation period in summer 100% batteries load (days)</t>
  </si>
  <si>
    <t>Average deepth of discharge at the end of autonomy (%)</t>
  </si>
  <si>
    <t>Recovery period in Winter 100% of battery load (days)</t>
  </si>
  <si>
    <t>PV GENERATORS</t>
  </si>
  <si>
    <t xml:space="preserve">      INFORMATION OF PV MODULE</t>
  </si>
  <si>
    <t>Manufacturer and Model</t>
  </si>
  <si>
    <t>Tipe</t>
  </si>
  <si>
    <t>Power (Wp)</t>
  </si>
  <si>
    <t>Reviewed current (A)</t>
  </si>
  <si>
    <t>Design current</t>
  </si>
  <si>
    <t>Module nominal current (A)</t>
  </si>
  <si>
    <t>Recomended parallel modules</t>
  </si>
  <si>
    <t>Recomended serial modules</t>
  </si>
  <si>
    <t>Selecteed parallel modules</t>
  </si>
  <si>
    <t>Selected serial modules</t>
  </si>
  <si>
    <t>Peak power per module (Wp)</t>
  </si>
  <si>
    <t>Modules in parallel</t>
  </si>
  <si>
    <t>Modules in serial</t>
  </si>
  <si>
    <t>Total Modules</t>
  </si>
  <si>
    <t>Max environment temp ºC</t>
  </si>
  <si>
    <t>Cell tremperature ºC</t>
  </si>
  <si>
    <t>Open circuit at Tc (V)</t>
  </si>
  <si>
    <t>CHARGE REGULATOR</t>
  </si>
  <si>
    <t xml:space="preserve"> INFORMATION OF CHARGE REGULATOR</t>
  </si>
  <si>
    <t>Voltage (V)</t>
  </si>
  <si>
    <t>Nominal voltage (V)</t>
  </si>
  <si>
    <t>Year Optimal angle</t>
  </si>
  <si>
    <t>Peak sun hours
(hrs/día)</t>
  </si>
  <si>
    <t>Design current (A)</t>
  </si>
  <si>
    <t>Summer optimal angle</t>
  </si>
  <si>
    <t>Winter optimal angle</t>
  </si>
  <si>
    <t>Reviewed total consumption</t>
  </si>
  <si>
    <t>Selected angle</t>
  </si>
  <si>
    <t>Peak sun hours (hrs/day)</t>
  </si>
  <si>
    <t>Peak sun hours
(hrs/day)</t>
  </si>
  <si>
    <t>Nominal Voltage</t>
  </si>
  <si>
    <t>Floating voltage 25º C (V)</t>
  </si>
  <si>
    <t>Equalization voltage 25ºC (V)</t>
  </si>
  <si>
    <t>Battery nominal voltage (V)</t>
  </si>
  <si>
    <t>Module Nominal voltage (V)</t>
  </si>
  <si>
    <t>Floating max voltage (V)</t>
  </si>
  <si>
    <t>Equalization max voltage</t>
  </si>
  <si>
    <t>ADJUSTED SWICH POINTS</t>
  </si>
  <si>
    <t>Compensation of temperature</t>
  </si>
  <si>
    <t>Overload voltage limit</t>
  </si>
  <si>
    <t>Overdischarge voltage limit</t>
  </si>
  <si>
    <t>Overdischarge voltage rearmament</t>
  </si>
  <si>
    <t>track MPP</t>
  </si>
  <si>
    <t>Inverse current protection</t>
  </si>
  <si>
    <t>Needs of the system</t>
  </si>
  <si>
    <t>Load DC Current (A)</t>
  </si>
  <si>
    <t>WARNINGS</t>
  </si>
  <si>
    <t>HOUSING</t>
  </si>
  <si>
    <t>VIPSKILLS</t>
  </si>
  <si>
    <t>FRIDGE</t>
  </si>
  <si>
    <t>OVEN</t>
  </si>
  <si>
    <t>WATER PUMP</t>
  </si>
  <si>
    <t>INSIDE LIGHTING</t>
  </si>
  <si>
    <t>OUTSIDE LIGHTING</t>
  </si>
  <si>
    <t>Isc generator
(A)</t>
  </si>
  <si>
    <t>Min Current regulator (A)</t>
  </si>
  <si>
    <t>Nominal current regulator (A)</t>
  </si>
  <si>
    <t>Regulators in parallel</t>
  </si>
  <si>
    <t>POWER ANALISYS</t>
  </si>
  <si>
    <t>REQUIREMENTS</t>
  </si>
  <si>
    <t>INVERTERS SPECIFICATIONS</t>
  </si>
  <si>
    <t>Wave form</t>
  </si>
  <si>
    <t>Voltage DC (V)</t>
  </si>
  <si>
    <t>Voltage AC (V)</t>
  </si>
  <si>
    <t>Max power (W)</t>
  </si>
  <si>
    <t>simultaneity coefficent (%)</t>
  </si>
  <si>
    <t>Min nominal power (W)</t>
  </si>
  <si>
    <t>overload operation time (min.)</t>
  </si>
  <si>
    <t>efficiency in nominal load (%)</t>
  </si>
  <si>
    <t>Voltage (DC)</t>
  </si>
  <si>
    <t>Voltage (AC)</t>
  </si>
  <si>
    <t>Nominal power (W)</t>
  </si>
  <si>
    <t>Peak max power (W)</t>
  </si>
  <si>
    <t>Nº inverters MIN. Needed</t>
  </si>
  <si>
    <t>Inverter-Charger</t>
  </si>
  <si>
    <t>Input voltage (V)</t>
  </si>
  <si>
    <t>Max load current (A)</t>
  </si>
  <si>
    <t>Batteries Time of charge (h)</t>
  </si>
  <si>
    <t>Compensation of voltage</t>
  </si>
  <si>
    <t>Sensor of Tª</t>
  </si>
  <si>
    <t>Atomatic commutation system</t>
  </si>
  <si>
    <t>DIESEL GENERATOR</t>
  </si>
  <si>
    <t>Nº of inverters selected</t>
  </si>
  <si>
    <t>Total AC power (W)</t>
  </si>
  <si>
    <t>Fuel type</t>
  </si>
  <si>
    <t>Autonomy</t>
  </si>
  <si>
    <t>Start system</t>
  </si>
  <si>
    <t>DC/DC converter</t>
  </si>
  <si>
    <t>DC Input voltage (V)</t>
  </si>
  <si>
    <t>DC output voltage (V)</t>
  </si>
  <si>
    <t>Output power (W)</t>
  </si>
  <si>
    <t>temperature of operation (ºC)</t>
  </si>
  <si>
    <t>Specifications converter DC/DC</t>
  </si>
  <si>
    <t>Output voltage (V)</t>
  </si>
  <si>
    <t>output current (A)</t>
  </si>
  <si>
    <t>Operation temperature (ºC)</t>
  </si>
  <si>
    <t>Characteristics:</t>
  </si>
  <si>
    <t>Output variable voltage</t>
  </si>
  <si>
    <t>PROTECTION COMPONENTS</t>
  </si>
  <si>
    <t>Generator-Regulator</t>
  </si>
  <si>
    <t>PV generator Isc (A)</t>
  </si>
  <si>
    <t>Generator max current (A)</t>
  </si>
  <si>
    <t>generator Voc (V)</t>
  </si>
  <si>
    <t>Interruptor</t>
  </si>
  <si>
    <t>Fuse</t>
  </si>
  <si>
    <t>Comercial Interruptor</t>
  </si>
  <si>
    <t>Comercial fuse</t>
  </si>
  <si>
    <t>Regulator- DC Consumption</t>
  </si>
  <si>
    <t>Peak DC current (A)</t>
  </si>
  <si>
    <t>Max DC current (A)</t>
  </si>
  <si>
    <t>Max DC voltage (V)</t>
  </si>
  <si>
    <t>Max current (A)</t>
  </si>
  <si>
    <t>Max voltage (V)</t>
  </si>
  <si>
    <t>Battery-Inverter</t>
  </si>
  <si>
    <t>Inverter- AC consumption</t>
  </si>
  <si>
    <t>Other interruptors</t>
  </si>
  <si>
    <t>Reviewed max current (A)</t>
  </si>
  <si>
    <t>Inverter nominal power (W)</t>
  </si>
  <si>
    <t>Efficiency</t>
  </si>
  <si>
    <t>DC max voltage (V)</t>
  </si>
  <si>
    <t>Nominal current (A)</t>
  </si>
  <si>
    <t>Thermal Interruptor</t>
  </si>
  <si>
    <t>Diferential Comertial</t>
  </si>
  <si>
    <t>Thermal Comertial</t>
  </si>
  <si>
    <t>Diferential Interruptor</t>
  </si>
  <si>
    <t>SYSTEM WIRING</t>
  </si>
  <si>
    <t>Conductors</t>
  </si>
  <si>
    <t>Length (m)</t>
  </si>
  <si>
    <t>Voltage decrease
(%)</t>
  </si>
  <si>
    <t>Section mm2</t>
  </si>
  <si>
    <t>Comercial section mm2</t>
  </si>
  <si>
    <t>comercial voltage decrease (%)</t>
  </si>
  <si>
    <t>Imax  (A)</t>
  </si>
  <si>
    <t>Temp correction</t>
  </si>
  <si>
    <t>nº conductors</t>
  </si>
  <si>
    <t>Reviewed Imax (A)</t>
  </si>
  <si>
    <t>Pretection systems</t>
  </si>
  <si>
    <t>Comercial section</t>
  </si>
  <si>
    <t>DC SYSTEMS</t>
  </si>
  <si>
    <t>AC SYSTEMS</t>
  </si>
  <si>
    <t>OTHER CIRCUITS</t>
  </si>
  <si>
    <t>Section</t>
  </si>
  <si>
    <t>Ground type</t>
  </si>
  <si>
    <t>ground of equipments</t>
  </si>
  <si>
    <t>ground of system</t>
  </si>
  <si>
    <t>Generator to regulator</t>
  </si>
  <si>
    <t>Battery to inverter</t>
  </si>
  <si>
    <t>Regulator to battery</t>
  </si>
  <si>
    <t>Inverter to AC load</t>
  </si>
  <si>
    <t>HYBRID PV-WIND SYSTEM</t>
  </si>
  <si>
    <t>Rotor heigh</t>
  </si>
  <si>
    <t>Aerogenerator efficiency</t>
  </si>
  <si>
    <t>Cost R fv (€/kWp)</t>
  </si>
  <si>
    <t>Cost R wind (€/m2)</t>
  </si>
  <si>
    <t xml:space="preserve">Less PV </t>
  </si>
  <si>
    <t>Worse wind month</t>
  </si>
  <si>
    <t>Ocober</t>
  </si>
  <si>
    <t>Peak sun hours</t>
  </si>
  <si>
    <t>Wind speed (m/s)</t>
  </si>
  <si>
    <t>Wind speed at rotor (m/s)</t>
  </si>
  <si>
    <t>Energy density Wind x Effi</t>
  </si>
  <si>
    <t>Daily consumption(kWh/day)</t>
  </si>
  <si>
    <t>PV generated energy (kWh/day)</t>
  </si>
  <si>
    <t>Wind generated energy (kWh/day)</t>
  </si>
  <si>
    <t>Hybrid 2nd best generated energy (kWh/day)</t>
  </si>
  <si>
    <t>Hybrid optimal generated energy (kWh/day)</t>
  </si>
  <si>
    <t>Hybrid 3rd best generated energy (kWh/day)</t>
  </si>
  <si>
    <t>Hybrid 4th best generated energy (kWh/day)</t>
  </si>
  <si>
    <t>Cost (Euros)</t>
  </si>
  <si>
    <t>Only PV configuration (kWp)</t>
  </si>
  <si>
    <t>Onli wind configuration (m2)</t>
  </si>
  <si>
    <t>Hybrid optimal configuration</t>
  </si>
  <si>
    <t>2nd best Hybrid configuration</t>
  </si>
  <si>
    <t>3rd best Hybrid configuration</t>
  </si>
  <si>
    <t>4th best Hybrid configuration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</si>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</sst>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7" formatCode="#,##0.000"/>
    <numFmt numFmtId="169" formatCode="0.0000"/>
    <numFmt numFmtId="170" formatCode="#,##0.00\ [$€-40A]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 Unicode MS"/>
      <family val="2"/>
    </font>
    <font>
      <sz val="8"/>
      <name val="Arial"/>
      <family val="2"/>
    </font>
    <font>
      <sz val="7.5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 Unicode MS"/>
      <family val="2"/>
    </font>
    <font>
      <b/>
      <sz val="11"/>
      <color indexed="57"/>
      <name val="Arial Unicode MS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43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0"/>
      <color indexed="47"/>
      <name val="Arial"/>
      <family val="2"/>
    </font>
    <font>
      <b/>
      <sz val="11"/>
      <color indexed="47"/>
      <name val="Arial Unicode MS"/>
      <family val="2"/>
    </font>
    <font>
      <b/>
      <sz val="10"/>
      <color indexed="2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Arial Unicode MS"/>
      <family val="2"/>
    </font>
    <font>
      <b/>
      <sz val="16"/>
      <color theme="9" tint="-0.49998474074526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0"/>
      <name val="Arial Unicode MS"/>
      <family val="2"/>
    </font>
    <font>
      <b/>
      <sz val="11"/>
      <color rgb="FFFF0000"/>
      <name val="Century Gothic"/>
      <family val="2"/>
    </font>
    <font>
      <b/>
      <sz val="11"/>
      <color rgb="FF7030A0"/>
      <name val="Century Gothic"/>
      <family val="2"/>
    </font>
    <font>
      <b/>
      <sz val="10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4"/>
      <color rgb="FF9C6500"/>
      <name val="Calibri"/>
      <family val="2"/>
      <scheme val="minor"/>
    </font>
    <font>
      <b/>
      <sz val="10"/>
      <color rgb="FF9C65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theme="5" tint="-0.499984740745262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entury Gothic"/>
      <family val="2"/>
    </font>
    <font>
      <b/>
      <sz val="11"/>
      <color theme="3" tint="-0.249977111117893"/>
      <name val="Century Gothic"/>
      <family val="2"/>
    </font>
    <font>
      <b/>
      <sz val="11"/>
      <color rgb="FF7030A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9"/>
      <color theme="3" tint="-0.249977111117893"/>
      <name val="Century Gothic"/>
      <family val="2"/>
    </font>
    <font>
      <b/>
      <sz val="12"/>
      <color rgb="FF9C6500"/>
      <name val="Calibri"/>
      <family val="2"/>
      <scheme val="minor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14999847407452621"/>
      <name val="Arial Unicode MS"/>
      <family val="2"/>
    </font>
    <font>
      <sz val="10"/>
      <color theme="0" tint="-0.249977111117893"/>
      <name val="Arial"/>
      <family val="2"/>
    </font>
    <font>
      <b/>
      <sz val="10"/>
      <color theme="0" tint="-0.14999847407452621"/>
      <name val="Arial Unicode MS"/>
      <family val="2"/>
    </font>
    <font>
      <sz val="11"/>
      <color theme="0" tint="-0.14999847407452621"/>
      <name val="Calibri"/>
      <family val="2"/>
      <scheme val="minor"/>
    </font>
    <font>
      <b/>
      <sz val="10"/>
      <color theme="0" tint="-0.1499984740745262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1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theme="6" tint="-0.249977111117893"/>
      </top>
      <bottom style="medium">
        <color indexed="64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dashed">
        <color indexed="64"/>
      </left>
      <right style="dashed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dashed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dashed">
        <color indexed="64"/>
      </left>
      <right style="dotted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dotted">
        <color indexed="64"/>
      </left>
      <right style="dotted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dotted">
        <color indexed="64"/>
      </left>
      <right style="dotted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dashed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/>
      <diagonal/>
    </border>
    <border>
      <left style="dotted">
        <color indexed="64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 style="medium">
        <color theme="6" tint="-0.249977111117893"/>
      </left>
      <right style="medium">
        <color theme="6" tint="-0.249977111117893"/>
      </right>
      <top style="thin">
        <color theme="6" tint="-0.249977111117893"/>
      </top>
      <bottom/>
      <diagonal/>
    </border>
    <border>
      <left style="medium">
        <color theme="6" tint="-0.249977111117893"/>
      </left>
      <right style="medium">
        <color theme="6" tint="-0.249977111117893"/>
      </right>
      <top/>
      <bottom/>
      <diagonal/>
    </border>
    <border>
      <left style="dashed">
        <color indexed="64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 style="dotted">
        <color indexed="64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6" tint="-0.249977111117893"/>
      </left>
      <right style="dash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theme="6" tint="-0.249977111117893"/>
      </right>
      <top/>
      <bottom/>
      <diagonal/>
    </border>
    <border>
      <left style="dotted">
        <color indexed="64"/>
      </left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dotted">
        <color indexed="64"/>
      </right>
      <top/>
      <bottom/>
      <diagonal/>
    </border>
    <border>
      <left style="medium">
        <color theme="6" tint="-0.249977111117893"/>
      </left>
      <right style="dashed">
        <color indexed="64"/>
      </right>
      <top style="medium">
        <color theme="6" tint="-0.249977111117893"/>
      </top>
      <bottom/>
      <diagonal/>
    </border>
    <border>
      <left style="dashed">
        <color indexed="64"/>
      </left>
      <right style="dotted">
        <color indexed="64"/>
      </right>
      <top style="medium">
        <color theme="6" tint="-0.249977111117893"/>
      </top>
      <bottom/>
      <diagonal/>
    </border>
    <border>
      <left style="dotted">
        <color indexed="64"/>
      </left>
      <right style="dotted">
        <color indexed="64"/>
      </right>
      <top style="medium">
        <color theme="6" tint="-0.24994659260841701"/>
      </top>
      <bottom/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medium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/>
      <bottom style="thin">
        <color theme="6" tint="-0.249977111117893"/>
      </bottom>
      <diagonal/>
    </border>
    <border>
      <left style="dashed">
        <color indexed="64"/>
      </left>
      <right style="dashed">
        <color indexed="64"/>
      </right>
      <top style="medium">
        <color theme="6" tint="-0.249977111117893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77111117893"/>
      </left>
      <right/>
      <top/>
      <bottom style="thin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77111117893"/>
      </left>
      <right/>
      <top style="thin">
        <color theme="6" tint="-0.249977111117893"/>
      </top>
      <bottom/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medium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 tint="-0.24994659260841701"/>
      </left>
      <right style="dotted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tted">
        <color indexed="64"/>
      </left>
      <right/>
      <top style="medium">
        <color theme="6" tint="-0.249977111117893"/>
      </top>
      <bottom style="medium">
        <color theme="6" tint="-0.24994659260841701"/>
      </bottom>
      <diagonal/>
    </border>
    <border>
      <left style="dashed">
        <color indexed="64"/>
      </left>
      <right style="dashed">
        <color indexed="64"/>
      </right>
      <top style="medium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tted">
        <color indexed="64"/>
      </left>
      <right style="medium">
        <color theme="6" tint="-0.24994659260841701"/>
      </right>
      <top style="medium">
        <color theme="6" tint="-0.249977111117893"/>
      </top>
      <bottom style="medium">
        <color theme="6" tint="-0.24994659260841701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 style="medium">
        <color theme="0"/>
      </left>
      <right/>
      <top style="medium">
        <color theme="0"/>
      </top>
      <bottom style="dotted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medium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medium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medium">
        <color theme="0"/>
      </top>
      <bottom style="dotted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thin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 style="dashed">
        <color indexed="64"/>
      </right>
      <top/>
      <bottom style="medium">
        <color theme="6" tint="-0.249977111117893"/>
      </bottom>
      <diagonal/>
    </border>
    <border>
      <left style="dashed">
        <color indexed="64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dashed">
        <color indexed="64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13">
    <xf numFmtId="0" fontId="0" fillId="0" borderId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40" fillId="22" borderId="0" applyNumberFormat="0" applyBorder="0" applyAlignment="0" applyProtection="0"/>
    <xf numFmtId="0" fontId="22" fillId="0" borderId="0"/>
    <xf numFmtId="0" fontId="38" fillId="26" borderId="0" applyNumberFormat="0" applyBorder="0" applyAlignment="0" applyProtection="0"/>
    <xf numFmtId="0" fontId="65" fillId="27" borderId="99" applyNumberFormat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69" fillId="27" borderId="141" applyNumberFormat="0" applyAlignment="0" applyProtection="0"/>
  </cellStyleXfs>
  <cellXfs count="629">
    <xf numFmtId="0" fontId="0" fillId="0" borderId="0" xfId="0"/>
    <xf numFmtId="1" fontId="25" fillId="0" borderId="0" xfId="7" applyNumberFormat="1" applyFont="1" applyFill="1" applyBorder="1" applyAlignment="1" applyProtection="1">
      <alignment horizontal="center" vertical="center"/>
      <protection hidden="1"/>
    </xf>
    <xf numFmtId="1" fontId="25" fillId="0" borderId="1" xfId="7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0" borderId="0" xfId="7" applyFont="1" applyAlignment="1" applyProtection="1">
      <alignment horizontal="center" vertical="center" wrapText="1"/>
      <protection hidden="1"/>
    </xf>
    <xf numFmtId="2" fontId="23" fillId="0" borderId="5" xfId="7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3" fillId="0" borderId="0" xfId="7" applyFont="1" applyAlignment="1" applyProtection="1">
      <alignment horizontal="center" vertical="center"/>
      <protection hidden="1"/>
    </xf>
    <xf numFmtId="0" fontId="21" fillId="0" borderId="7" xfId="7" quotePrefix="1" applyFont="1" applyBorder="1" applyAlignment="1" applyProtection="1">
      <alignment horizontal="center" vertical="center"/>
      <protection hidden="1"/>
    </xf>
    <xf numFmtId="0" fontId="23" fillId="0" borderId="9" xfId="7" applyFont="1" applyBorder="1" applyAlignment="1" applyProtection="1">
      <alignment horizontal="center" vertical="center"/>
      <protection hidden="1"/>
    </xf>
    <xf numFmtId="0" fontId="23" fillId="0" borderId="10" xfId="7" applyFont="1" applyBorder="1" applyAlignment="1" applyProtection="1">
      <alignment horizontal="center" vertical="center"/>
      <protection hidden="1"/>
    </xf>
    <xf numFmtId="0" fontId="23" fillId="0" borderId="0" xfId="7" applyFont="1" applyBorder="1" applyAlignment="1" applyProtection="1">
      <alignment horizontal="center" vertical="center"/>
      <protection hidden="1"/>
    </xf>
    <xf numFmtId="0" fontId="23" fillId="0" borderId="1" xfId="7" applyFont="1" applyBorder="1" applyAlignment="1" applyProtection="1">
      <alignment horizontal="center" vertical="center"/>
      <protection hidden="1"/>
    </xf>
    <xf numFmtId="2" fontId="23" fillId="0" borderId="11" xfId="7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0" fontId="21" fillId="0" borderId="10" xfId="7" applyFont="1" applyBorder="1" applyAlignment="1" applyProtection="1">
      <alignment horizontal="center" vertical="center"/>
      <protection hidden="1"/>
    </xf>
    <xf numFmtId="0" fontId="21" fillId="0" borderId="0" xfId="7" quotePrefix="1" applyFont="1" applyBorder="1" applyAlignment="1" applyProtection="1">
      <alignment horizontal="center" vertical="center"/>
      <protection hidden="1"/>
    </xf>
    <xf numFmtId="0" fontId="21" fillId="0" borderId="1" xfId="7" quotePrefix="1" applyFont="1" applyBorder="1" applyAlignment="1" applyProtection="1">
      <alignment horizontal="center" vertical="center"/>
      <protection hidden="1"/>
    </xf>
    <xf numFmtId="0" fontId="23" fillId="0" borderId="11" xfId="7" applyFont="1" applyBorder="1" applyAlignment="1" applyProtection="1">
      <alignment horizontal="center" vertical="center"/>
      <protection hidden="1"/>
    </xf>
    <xf numFmtId="0" fontId="23" fillId="0" borderId="12" xfId="7" applyFont="1" applyBorder="1" applyAlignment="1" applyProtection="1">
      <alignment horizontal="center" vertical="center"/>
      <protection hidden="1"/>
    </xf>
    <xf numFmtId="0" fontId="23" fillId="0" borderId="13" xfId="7" applyFont="1" applyBorder="1" applyAlignment="1" applyProtection="1">
      <alignment horizontal="center" vertical="center"/>
      <protection hidden="1"/>
    </xf>
    <xf numFmtId="0" fontId="23" fillId="0" borderId="14" xfId="7" applyFont="1" applyBorder="1" applyAlignment="1" applyProtection="1">
      <alignment horizontal="center" vertical="center"/>
      <protection hidden="1"/>
    </xf>
    <xf numFmtId="2" fontId="23" fillId="0" borderId="15" xfId="7" applyNumberFormat="1" applyFont="1" applyBorder="1" applyAlignment="1" applyProtection="1">
      <alignment horizontal="center" vertical="center"/>
      <protection hidden="1"/>
    </xf>
    <xf numFmtId="0" fontId="24" fillId="0" borderId="6" xfId="7" applyFont="1" applyBorder="1" applyAlignment="1" applyProtection="1">
      <alignment horizontal="center"/>
      <protection hidden="1"/>
    </xf>
    <xf numFmtId="0" fontId="24" fillId="0" borderId="7" xfId="7" applyFont="1" applyBorder="1" applyAlignment="1" applyProtection="1">
      <alignment horizontal="center"/>
      <protection hidden="1"/>
    </xf>
    <xf numFmtId="0" fontId="24" fillId="0" borderId="10" xfId="7" applyFont="1" applyBorder="1" applyAlignment="1" applyProtection="1">
      <alignment horizontal="center"/>
      <protection hidden="1"/>
    </xf>
    <xf numFmtId="0" fontId="24" fillId="0" borderId="8" xfId="7" applyFont="1" applyBorder="1" applyAlignment="1" applyProtection="1">
      <alignment horizontal="center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3" fillId="0" borderId="6" xfId="0" applyFont="1" applyBorder="1" applyProtection="1">
      <protection hidden="1"/>
    </xf>
    <xf numFmtId="0" fontId="23" fillId="0" borderId="7" xfId="0" applyFont="1" applyBorder="1" applyProtection="1">
      <protection hidden="1"/>
    </xf>
    <xf numFmtId="0" fontId="23" fillId="0" borderId="8" xfId="0" applyFont="1" applyBorder="1" applyProtection="1">
      <protection hidden="1"/>
    </xf>
    <xf numFmtId="0" fontId="0" fillId="3" borderId="0" xfId="0" applyFill="1"/>
    <xf numFmtId="0" fontId="0" fillId="4" borderId="0" xfId="0" applyFill="1"/>
    <xf numFmtId="0" fontId="11" fillId="0" borderId="0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64" fontId="0" fillId="9" borderId="0" xfId="0" applyNumberFormat="1" applyFill="1"/>
    <xf numFmtId="165" fontId="0" fillId="9" borderId="0" xfId="0" applyNumberFormat="1" applyFill="1"/>
    <xf numFmtId="2" fontId="27" fillId="0" borderId="16" xfId="0" applyNumberFormat="1" applyFont="1" applyFill="1" applyBorder="1" applyAlignment="1" applyProtection="1">
      <alignment horizontal="center"/>
      <protection hidden="1"/>
    </xf>
    <xf numFmtId="0" fontId="36" fillId="0" borderId="0" xfId="0" applyFont="1"/>
    <xf numFmtId="169" fontId="0" fillId="0" borderId="0" xfId="0" applyNumberFormat="1"/>
    <xf numFmtId="1" fontId="0" fillId="9" borderId="0" xfId="0" applyNumberFormat="1" applyFill="1"/>
    <xf numFmtId="1" fontId="0" fillId="8" borderId="0" xfId="0" applyNumberFormat="1" applyFill="1"/>
    <xf numFmtId="169" fontId="0" fillId="8" borderId="0" xfId="0" applyNumberFormat="1" applyFill="1"/>
    <xf numFmtId="167" fontId="0" fillId="8" borderId="0" xfId="0" applyNumberFormat="1" applyFill="1"/>
    <xf numFmtId="164" fontId="0" fillId="8" borderId="0" xfId="0" applyNumberFormat="1" applyFill="1"/>
    <xf numFmtId="0" fontId="0" fillId="8" borderId="0" xfId="0" applyFill="1"/>
    <xf numFmtId="0" fontId="0" fillId="10" borderId="0" xfId="0" applyFill="1"/>
    <xf numFmtId="0" fontId="0" fillId="7" borderId="0" xfId="0" applyFill="1"/>
    <xf numFmtId="1" fontId="0" fillId="4" borderId="0" xfId="0" applyNumberFormat="1" applyFill="1"/>
    <xf numFmtId="169" fontId="0" fillId="4" borderId="0" xfId="0" applyNumberFormat="1" applyFill="1"/>
    <xf numFmtId="167" fontId="0" fillId="4" borderId="0" xfId="0" applyNumberFormat="1" applyFill="1"/>
    <xf numFmtId="164" fontId="0" fillId="4" borderId="0" xfId="0" applyNumberFormat="1" applyFill="1"/>
    <xf numFmtId="169" fontId="0" fillId="9" borderId="0" xfId="0" applyNumberFormat="1" applyFill="1"/>
    <xf numFmtId="167" fontId="0" fillId="9" borderId="0" xfId="0" applyNumberFormat="1" applyFill="1"/>
    <xf numFmtId="0" fontId="0" fillId="9" borderId="0" xfId="0" applyFill="1"/>
    <xf numFmtId="1" fontId="0" fillId="3" borderId="0" xfId="0" applyNumberFormat="1" applyFill="1"/>
    <xf numFmtId="169" fontId="0" fillId="3" borderId="0" xfId="0" applyNumberFormat="1" applyFill="1"/>
    <xf numFmtId="167" fontId="0" fillId="3" borderId="0" xfId="0" applyNumberFormat="1" applyFill="1"/>
    <xf numFmtId="164" fontId="0" fillId="3" borderId="0" xfId="0" applyNumberFormat="1" applyFill="1"/>
    <xf numFmtId="1" fontId="0" fillId="11" borderId="0" xfId="0" applyNumberFormat="1" applyFill="1"/>
    <xf numFmtId="169" fontId="0" fillId="11" borderId="0" xfId="0" applyNumberFormat="1" applyFill="1"/>
    <xf numFmtId="167" fontId="0" fillId="11" borderId="0" xfId="0" applyNumberFormat="1" applyFill="1"/>
    <xf numFmtId="164" fontId="0" fillId="11" borderId="0" xfId="0" applyNumberFormat="1" applyFill="1"/>
    <xf numFmtId="0" fontId="0" fillId="11" borderId="0" xfId="0" applyFill="1"/>
    <xf numFmtId="1" fontId="0" fillId="12" borderId="0" xfId="0" applyNumberFormat="1" applyFill="1"/>
    <xf numFmtId="169" fontId="0" fillId="12" borderId="0" xfId="0" applyNumberFormat="1" applyFill="1"/>
    <xf numFmtId="167" fontId="0" fillId="12" borderId="0" xfId="0" applyNumberFormat="1" applyFill="1"/>
    <xf numFmtId="164" fontId="0" fillId="12" borderId="0" xfId="0" applyNumberFormat="1" applyFill="1"/>
    <xf numFmtId="0" fontId="0" fillId="12" borderId="0" xfId="0" applyFill="1"/>
    <xf numFmtId="1" fontId="0" fillId="13" borderId="0" xfId="0" applyNumberFormat="1" applyFill="1"/>
    <xf numFmtId="169" fontId="0" fillId="13" borderId="0" xfId="0" applyNumberFormat="1" applyFill="1"/>
    <xf numFmtId="167" fontId="0" fillId="13" borderId="0" xfId="0" applyNumberFormat="1" applyFill="1"/>
    <xf numFmtId="164" fontId="0" fillId="13" borderId="0" xfId="0" applyNumberFormat="1" applyFill="1"/>
    <xf numFmtId="0" fontId="0" fillId="13" borderId="0" xfId="0" applyFill="1"/>
    <xf numFmtId="1" fontId="0" fillId="7" borderId="0" xfId="0" applyNumberFormat="1" applyFill="1"/>
    <xf numFmtId="169" fontId="0" fillId="7" borderId="0" xfId="0" applyNumberFormat="1" applyFill="1"/>
    <xf numFmtId="167" fontId="0" fillId="7" borderId="0" xfId="0" applyNumberFormat="1" applyFill="1"/>
    <xf numFmtId="164" fontId="0" fillId="7" borderId="0" xfId="0" applyNumberFormat="1" applyFill="1"/>
    <xf numFmtId="1" fontId="0" fillId="14" borderId="0" xfId="0" applyNumberFormat="1" applyFill="1"/>
    <xf numFmtId="0" fontId="0" fillId="14" borderId="0" xfId="0" applyFill="1"/>
    <xf numFmtId="167" fontId="0" fillId="14" borderId="0" xfId="0" applyNumberFormat="1" applyFill="1"/>
    <xf numFmtId="169" fontId="0" fillId="14" borderId="0" xfId="0" applyNumberFormat="1" applyFill="1"/>
    <xf numFmtId="164" fontId="0" fillId="14" borderId="0" xfId="0" applyNumberFormat="1" applyFill="1"/>
    <xf numFmtId="1" fontId="0" fillId="15" borderId="0" xfId="0" applyNumberFormat="1" applyFill="1"/>
    <xf numFmtId="0" fontId="0" fillId="15" borderId="0" xfId="0" applyFill="1"/>
    <xf numFmtId="167" fontId="0" fillId="15" borderId="0" xfId="0" applyNumberFormat="1" applyFill="1"/>
    <xf numFmtId="169" fontId="0" fillId="15" borderId="0" xfId="0" applyNumberFormat="1" applyFill="1"/>
    <xf numFmtId="164" fontId="0" fillId="15" borderId="0" xfId="0" applyNumberFormat="1" applyFill="1"/>
    <xf numFmtId="2" fontId="0" fillId="10" borderId="0" xfId="0" applyNumberFormat="1" applyFill="1"/>
    <xf numFmtId="2" fontId="0" fillId="0" borderId="0" xfId="0" applyNumberFormat="1"/>
    <xf numFmtId="164" fontId="0" fillId="0" borderId="0" xfId="0" applyNumberFormat="1" applyBorder="1"/>
    <xf numFmtId="2" fontId="42" fillId="17" borderId="0" xfId="1" applyNumberFormat="1" applyFont="1" applyBorder="1" applyAlignment="1" applyProtection="1">
      <alignment horizontal="center" vertical="center"/>
      <protection hidden="1"/>
    </xf>
    <xf numFmtId="164" fontId="42" fillId="17" borderId="0" xfId="1" applyNumberFormat="1" applyFont="1" applyBorder="1" applyAlignment="1" applyProtection="1">
      <alignment horizontal="center" vertical="center"/>
      <protection hidden="1"/>
    </xf>
    <xf numFmtId="4" fontId="46" fillId="23" borderId="21" xfId="5" applyNumberFormat="1" applyFont="1" applyFill="1" applyBorder="1" applyAlignment="1" applyProtection="1">
      <alignment horizontal="center" vertical="center"/>
      <protection hidden="1"/>
    </xf>
    <xf numFmtId="4" fontId="42" fillId="24" borderId="52" xfId="3" applyNumberFormat="1" applyFont="1" applyFill="1" applyBorder="1" applyAlignment="1" applyProtection="1">
      <alignment horizontal="center" vertical="center"/>
      <protection hidden="1"/>
    </xf>
    <xf numFmtId="4" fontId="42" fillId="24" borderId="53" xfId="3" applyNumberFormat="1" applyFont="1" applyFill="1" applyBorder="1" applyAlignment="1" applyProtection="1">
      <alignment horizontal="center" vertical="center"/>
      <protection hidden="1"/>
    </xf>
    <xf numFmtId="4" fontId="42" fillId="24" borderId="54" xfId="3" applyNumberFormat="1" applyFont="1" applyFill="1" applyBorder="1" applyAlignment="1" applyProtection="1">
      <alignment horizontal="center" vertical="center"/>
      <protection hidden="1"/>
    </xf>
    <xf numFmtId="4" fontId="42" fillId="24" borderId="55" xfId="3" applyNumberFormat="1" applyFont="1" applyFill="1" applyBorder="1" applyAlignment="1" applyProtection="1">
      <alignment horizontal="center" vertical="center"/>
      <protection hidden="1"/>
    </xf>
    <xf numFmtId="4" fontId="42" fillId="24" borderId="56" xfId="3" applyNumberFormat="1" applyFont="1" applyFill="1" applyBorder="1" applyAlignment="1" applyProtection="1">
      <alignment horizontal="center" vertical="center"/>
      <protection hidden="1"/>
    </xf>
    <xf numFmtId="4" fontId="42" fillId="24" borderId="57" xfId="3" applyNumberFormat="1" applyFont="1" applyFill="1" applyBorder="1" applyAlignment="1" applyProtection="1">
      <alignment horizontal="center" vertical="center"/>
      <protection hidden="1"/>
    </xf>
    <xf numFmtId="1" fontId="42" fillId="17" borderId="0" xfId="1" applyNumberFormat="1" applyFont="1" applyBorder="1" applyAlignment="1" applyProtection="1">
      <alignment horizontal="center" vertical="center"/>
      <protection hidden="1"/>
    </xf>
    <xf numFmtId="164" fontId="52" fillId="23" borderId="66" xfId="5" applyNumberFormat="1" applyFont="1" applyFill="1" applyBorder="1" applyAlignment="1" applyProtection="1">
      <alignment horizontal="center" vertical="center"/>
      <protection hidden="1"/>
    </xf>
    <xf numFmtId="0" fontId="42" fillId="24" borderId="23" xfId="3" applyFont="1" applyFill="1" applyBorder="1" applyAlignment="1" applyProtection="1">
      <alignment horizontal="center" vertical="center"/>
      <protection hidden="1"/>
    </xf>
    <xf numFmtId="4" fontId="42" fillId="24" borderId="22" xfId="3" applyNumberFormat="1" applyFont="1" applyFill="1" applyBorder="1" applyAlignment="1" applyProtection="1">
      <alignment horizontal="center" vertical="center"/>
      <protection hidden="1"/>
    </xf>
    <xf numFmtId="1" fontId="42" fillId="24" borderId="22" xfId="3" applyNumberFormat="1" applyFont="1" applyFill="1" applyBorder="1" applyAlignment="1" applyProtection="1">
      <alignment horizontal="center" vertical="center"/>
      <protection hidden="1"/>
    </xf>
    <xf numFmtId="2" fontId="42" fillId="24" borderId="22" xfId="3" applyNumberFormat="1" applyFont="1" applyFill="1" applyBorder="1" applyAlignment="1" applyProtection="1">
      <alignment horizontal="center" vertical="center"/>
      <protection hidden="1"/>
    </xf>
    <xf numFmtId="3" fontId="44" fillId="23" borderId="0" xfId="5" applyNumberFormat="1" applyFont="1" applyFill="1" applyBorder="1" applyAlignment="1" applyProtection="1">
      <alignment horizontal="center" vertical="center"/>
      <protection hidden="1"/>
    </xf>
    <xf numFmtId="165" fontId="42" fillId="17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58" fillId="17" borderId="71" xfId="1" applyFont="1" applyBorder="1" applyAlignment="1">
      <alignment horizontal="center" vertical="center" wrapText="1"/>
    </xf>
    <xf numFmtId="0" fontId="58" fillId="17" borderId="72" xfId="1" applyFont="1" applyBorder="1" applyAlignment="1">
      <alignment horizontal="center" vertical="center" wrapText="1"/>
    </xf>
    <xf numFmtId="0" fontId="59" fillId="23" borderId="75" xfId="5" applyFont="1" applyFill="1" applyBorder="1" applyAlignment="1">
      <alignment horizontal="center" vertical="center" wrapText="1"/>
    </xf>
    <xf numFmtId="0" fontId="0" fillId="25" borderId="0" xfId="0" applyFill="1"/>
    <xf numFmtId="0" fontId="14" fillId="25" borderId="0" xfId="0" applyFont="1" applyFill="1" applyBorder="1" applyAlignment="1">
      <alignment horizontal="right"/>
    </xf>
    <xf numFmtId="0" fontId="0" fillId="25" borderId="0" xfId="0" applyFill="1" applyBorder="1"/>
    <xf numFmtId="164" fontId="0" fillId="25" borderId="0" xfId="0" applyNumberFormat="1" applyFill="1"/>
    <xf numFmtId="0" fontId="0" fillId="25" borderId="0" xfId="0" applyFill="1" applyAlignment="1"/>
    <xf numFmtId="0" fontId="0" fillId="25" borderId="0" xfId="0" applyFill="1" applyBorder="1" applyAlignment="1"/>
    <xf numFmtId="14" fontId="20" fillId="25" borderId="0" xfId="0" applyNumberFormat="1" applyFont="1" applyFill="1" applyBorder="1" applyAlignment="1" applyProtection="1"/>
    <xf numFmtId="3" fontId="42" fillId="24" borderId="53" xfId="3" applyNumberFormat="1" applyFont="1" applyFill="1" applyBorder="1" applyAlignment="1" applyProtection="1">
      <alignment horizontal="center" vertical="center"/>
      <protection hidden="1"/>
    </xf>
    <xf numFmtId="3" fontId="42" fillId="17" borderId="0" xfId="1" applyNumberFormat="1" applyFont="1" applyBorder="1" applyAlignment="1" applyProtection="1">
      <alignment horizontal="center" vertical="center"/>
      <protection hidden="1"/>
    </xf>
    <xf numFmtId="0" fontId="55" fillId="24" borderId="0" xfId="0" applyFont="1" applyFill="1" applyBorder="1" applyAlignment="1"/>
    <xf numFmtId="0" fontId="55" fillId="24" borderId="0" xfId="0" applyFont="1" applyFill="1" applyBorder="1" applyAlignment="1">
      <alignment horizontal="center"/>
    </xf>
    <xf numFmtId="0" fontId="0" fillId="25" borderId="88" xfId="0" applyFill="1" applyBorder="1"/>
    <xf numFmtId="4" fontId="44" fillId="23" borderId="0" xfId="5" applyNumberFormat="1" applyFont="1" applyFill="1" applyBorder="1" applyAlignment="1" applyProtection="1">
      <alignment horizontal="center" vertical="center"/>
      <protection hidden="1"/>
    </xf>
    <xf numFmtId="0" fontId="64" fillId="25" borderId="0" xfId="0" applyFont="1" applyFill="1" applyBorder="1" applyAlignment="1"/>
    <xf numFmtId="0" fontId="10" fillId="25" borderId="0" xfId="0" applyFont="1" applyFill="1" applyBorder="1" applyAlignment="1"/>
    <xf numFmtId="0" fontId="0" fillId="25" borderId="0" xfId="0" applyFill="1" applyBorder="1" applyAlignment="1">
      <alignment horizontal="right"/>
    </xf>
    <xf numFmtId="0" fontId="36" fillId="25" borderId="0" xfId="0" applyFont="1" applyFill="1" applyBorder="1"/>
    <xf numFmtId="0" fontId="30" fillId="25" borderId="0" xfId="0" applyFont="1" applyFill="1" applyBorder="1"/>
    <xf numFmtId="0" fontId="0" fillId="25" borderId="92" xfId="0" applyFill="1" applyBorder="1"/>
    <xf numFmtId="0" fontId="56" fillId="24" borderId="0" xfId="0" applyFont="1" applyFill="1" applyBorder="1" applyAlignment="1"/>
    <xf numFmtId="0" fontId="58" fillId="17" borderId="100" xfId="1" applyFont="1" applyBorder="1" applyAlignment="1">
      <alignment horizontal="center" vertical="center" wrapText="1"/>
    </xf>
    <xf numFmtId="0" fontId="58" fillId="17" borderId="102" xfId="1" applyFont="1" applyBorder="1" applyAlignment="1">
      <alignment horizontal="center" vertical="center" wrapText="1"/>
    </xf>
    <xf numFmtId="0" fontId="58" fillId="17" borderId="103" xfId="1" applyFont="1" applyBorder="1" applyAlignment="1">
      <alignment horizontal="center" vertical="center" wrapText="1"/>
    </xf>
    <xf numFmtId="4" fontId="44" fillId="23" borderId="86" xfId="5" applyNumberFormat="1" applyFont="1" applyFill="1" applyBorder="1" applyAlignment="1" applyProtection="1">
      <alignment horizontal="center" vertical="center"/>
      <protection hidden="1"/>
    </xf>
    <xf numFmtId="0" fontId="43" fillId="23" borderId="83" xfId="0" applyFont="1" applyFill="1" applyBorder="1" applyAlignment="1">
      <alignment horizontal="center" vertical="center"/>
    </xf>
    <xf numFmtId="0" fontId="58" fillId="17" borderId="101" xfId="1" applyFont="1" applyBorder="1" applyAlignment="1">
      <alignment horizontal="center" vertical="center" wrapText="1"/>
    </xf>
    <xf numFmtId="0" fontId="0" fillId="25" borderId="92" xfId="0" applyFill="1" applyBorder="1" applyAlignment="1">
      <alignment horizontal="center"/>
    </xf>
    <xf numFmtId="0" fontId="59" fillId="23" borderId="104" xfId="0" applyFont="1" applyFill="1" applyBorder="1" applyAlignment="1">
      <alignment horizontal="center" vertical="center" wrapText="1"/>
    </xf>
    <xf numFmtId="0" fontId="59" fillId="23" borderId="105" xfId="5" applyFont="1" applyFill="1" applyBorder="1" applyAlignment="1">
      <alignment horizontal="center" vertical="center" wrapText="1"/>
    </xf>
    <xf numFmtId="0" fontId="58" fillId="17" borderId="106" xfId="1" applyFont="1" applyBorder="1" applyAlignment="1">
      <alignment horizontal="center" vertical="center" wrapText="1"/>
    </xf>
    <xf numFmtId="0" fontId="0" fillId="25" borderId="0" xfId="0" quotePrefix="1" applyFill="1" applyBorder="1" applyAlignment="1"/>
    <xf numFmtId="0" fontId="66" fillId="25" borderId="0" xfId="0" applyFont="1" applyFill="1" applyBorder="1" applyAlignment="1"/>
    <xf numFmtId="0" fontId="55" fillId="25" borderId="0" xfId="0" applyFont="1" applyFill="1" applyBorder="1" applyAlignment="1"/>
    <xf numFmtId="0" fontId="58" fillId="17" borderId="107" xfId="1" applyFont="1" applyBorder="1" applyAlignment="1">
      <alignment horizontal="center" vertical="center" wrapText="1"/>
    </xf>
    <xf numFmtId="0" fontId="58" fillId="17" borderId="108" xfId="1" applyFont="1" applyBorder="1" applyAlignment="1">
      <alignment horizontal="center" vertical="center" wrapText="1"/>
    </xf>
    <xf numFmtId="0" fontId="59" fillId="23" borderId="109" xfId="0" applyFont="1" applyFill="1" applyBorder="1" applyAlignment="1">
      <alignment horizontal="center" vertical="center" wrapText="1"/>
    </xf>
    <xf numFmtId="0" fontId="61" fillId="22" borderId="0" xfId="6" applyFont="1" applyBorder="1" applyAlignment="1">
      <alignment vertical="center"/>
    </xf>
    <xf numFmtId="0" fontId="61" fillId="25" borderId="0" xfId="6" applyFont="1" applyFill="1" applyBorder="1" applyAlignment="1">
      <alignment vertical="center"/>
    </xf>
    <xf numFmtId="0" fontId="9" fillId="25" borderId="0" xfId="0" applyFont="1" applyFill="1" applyBorder="1"/>
    <xf numFmtId="0" fontId="59" fillId="23" borderId="118" xfId="5" applyFont="1" applyFill="1" applyBorder="1" applyAlignment="1">
      <alignment horizontal="center" vertical="center" wrapText="1"/>
    </xf>
    <xf numFmtId="167" fontId="0" fillId="0" borderId="0" xfId="0" applyNumberFormat="1" applyBorder="1"/>
    <xf numFmtId="1" fontId="0" fillId="0" borderId="0" xfId="0" applyNumberFormat="1" applyFill="1"/>
    <xf numFmtId="169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6" fillId="0" borderId="0" xfId="0" applyFont="1" applyFill="1"/>
    <xf numFmtId="0" fontId="14" fillId="0" borderId="0" xfId="0" applyFont="1"/>
    <xf numFmtId="0" fontId="34" fillId="6" borderId="148" xfId="0" applyFont="1" applyFill="1" applyBorder="1" applyAlignment="1" applyProtection="1">
      <alignment horizontal="center" vertical="center"/>
      <protection hidden="1"/>
    </xf>
    <xf numFmtId="0" fontId="34" fillId="6" borderId="146" xfId="0" applyFont="1" applyFill="1" applyBorder="1" applyAlignment="1" applyProtection="1">
      <alignment horizontal="center" vertical="center"/>
      <protection hidden="1"/>
    </xf>
    <xf numFmtId="165" fontId="34" fillId="6" borderId="148" xfId="0" applyNumberFormat="1" applyFont="1" applyFill="1" applyBorder="1" applyAlignment="1" applyProtection="1">
      <alignment horizontal="center" vertical="center"/>
      <protection hidden="1"/>
    </xf>
    <xf numFmtId="165" fontId="34" fillId="6" borderId="146" xfId="0" applyNumberFormat="1" applyFont="1" applyFill="1" applyBorder="1" applyAlignment="1" applyProtection="1">
      <alignment horizontal="center" vertical="center"/>
      <protection hidden="1"/>
    </xf>
    <xf numFmtId="2" fontId="34" fillId="6" borderId="150" xfId="0" applyNumberFormat="1" applyFont="1" applyFill="1" applyBorder="1" applyAlignment="1" applyProtection="1">
      <alignment horizontal="center" vertical="center"/>
      <protection hidden="1"/>
    </xf>
    <xf numFmtId="2" fontId="34" fillId="6" borderId="15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24" fillId="0" borderId="10" xfId="7" applyFont="1" applyFill="1" applyBorder="1" applyAlignment="1" applyProtection="1">
      <alignment horizontal="center"/>
      <protection hidden="1"/>
    </xf>
    <xf numFmtId="0" fontId="37" fillId="0" borderId="0" xfId="4" applyFill="1" applyBorder="1" applyAlignment="1" applyProtection="1">
      <alignment horizontal="center"/>
    </xf>
    <xf numFmtId="3" fontId="0" fillId="0" borderId="0" xfId="0" applyNumberFormat="1" applyFill="1"/>
    <xf numFmtId="0" fontId="70" fillId="25" borderId="0" xfId="0" applyFont="1" applyFill="1" applyBorder="1"/>
    <xf numFmtId="0" fontId="0" fillId="0" borderId="86" xfId="0" applyBorder="1"/>
    <xf numFmtId="0" fontId="44" fillId="25" borderId="0" xfId="2" applyFont="1" applyFill="1" applyBorder="1" applyAlignment="1">
      <alignment vertical="center"/>
    </xf>
    <xf numFmtId="2" fontId="49" fillId="31" borderId="0" xfId="5" applyNumberFormat="1" applyFont="1" applyFill="1" applyBorder="1" applyAlignment="1" applyProtection="1">
      <alignment horizontal="center" vertical="center"/>
      <protection hidden="1"/>
    </xf>
    <xf numFmtId="2" fontId="50" fillId="31" borderId="0" xfId="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59" fillId="23" borderId="0" xfId="0" applyFont="1" applyFill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0" fontId="0" fillId="0" borderId="14" xfId="0" applyBorder="1" applyProtection="1">
      <protection hidden="1"/>
    </xf>
    <xf numFmtId="0" fontId="0" fillId="25" borderId="0" xfId="0" applyFill="1" applyBorder="1" applyAlignment="1">
      <alignment horizontal="center"/>
    </xf>
    <xf numFmtId="0" fontId="43" fillId="23" borderId="0" xfId="0" applyFont="1" applyFill="1" applyBorder="1" applyAlignment="1">
      <alignment horizontal="center" vertical="center"/>
    </xf>
    <xf numFmtId="0" fontId="43" fillId="23" borderId="81" xfId="0" applyFont="1" applyFill="1" applyBorder="1" applyAlignment="1">
      <alignment horizontal="center" vertical="center"/>
    </xf>
    <xf numFmtId="1" fontId="42" fillId="17" borderId="0" xfId="1" applyNumberFormat="1" applyFont="1" applyBorder="1" applyAlignment="1" applyProtection="1">
      <alignment horizontal="center" vertical="center" wrapText="1"/>
      <protection hidden="1"/>
    </xf>
    <xf numFmtId="14" fontId="19" fillId="7" borderId="62" xfId="0" applyNumberFormat="1" applyFont="1" applyFill="1" applyBorder="1" applyAlignment="1" applyProtection="1">
      <alignment horizontal="center"/>
    </xf>
    <xf numFmtId="0" fontId="0" fillId="7" borderId="62" xfId="0" applyFill="1" applyBorder="1" applyAlignment="1">
      <alignment horizontal="center"/>
    </xf>
    <xf numFmtId="14" fontId="0" fillId="7" borderId="62" xfId="0" applyNumberFormat="1" applyFill="1" applyBorder="1" applyAlignment="1">
      <alignment horizontal="center"/>
    </xf>
    <xf numFmtId="0" fontId="43" fillId="23" borderId="0" xfId="0" applyFont="1" applyFill="1" applyBorder="1" applyAlignment="1">
      <alignment horizontal="center" vertical="center"/>
    </xf>
    <xf numFmtId="0" fontId="43" fillId="23" borderId="81" xfId="0" applyFont="1" applyFill="1" applyBorder="1" applyAlignment="1">
      <alignment horizontal="center" vertical="center"/>
    </xf>
    <xf numFmtId="0" fontId="43" fillId="23" borderId="86" xfId="0" applyFont="1" applyFill="1" applyBorder="1" applyAlignment="1">
      <alignment horizontal="center" vertical="center"/>
    </xf>
    <xf numFmtId="0" fontId="59" fillId="23" borderId="157" xfId="5" applyFont="1" applyFill="1" applyBorder="1" applyAlignment="1">
      <alignment horizontal="center" vertical="center" wrapText="1"/>
    </xf>
    <xf numFmtId="0" fontId="59" fillId="23" borderId="158" xfId="5" applyFont="1" applyFill="1" applyBorder="1" applyAlignment="1">
      <alignment horizontal="center" vertical="center" wrapText="1"/>
    </xf>
    <xf numFmtId="2" fontId="42" fillId="17" borderId="0" xfId="1" applyNumberFormat="1" applyFont="1" applyBorder="1" applyAlignment="1" applyProtection="1">
      <alignment horizontal="center" vertical="center" wrapText="1"/>
      <protection hidden="1"/>
    </xf>
    <xf numFmtId="2" fontId="42" fillId="17" borderId="86" xfId="1" applyNumberFormat="1" applyFont="1" applyBorder="1" applyAlignment="1" applyProtection="1">
      <alignment horizontal="center" vertical="center" wrapText="1"/>
      <protection hidden="1"/>
    </xf>
    <xf numFmtId="2" fontId="42" fillId="17" borderId="83" xfId="1" applyNumberFormat="1" applyFont="1" applyBorder="1" applyAlignment="1" applyProtection="1">
      <alignment horizontal="center" vertical="center" wrapText="1"/>
      <protection hidden="1"/>
    </xf>
    <xf numFmtId="1" fontId="42" fillId="17" borderId="0" xfId="1" applyNumberFormat="1" applyFont="1" applyBorder="1" applyAlignment="1" applyProtection="1">
      <alignment horizontal="center" vertical="center" wrapText="1"/>
      <protection hidden="1"/>
    </xf>
    <xf numFmtId="0" fontId="61" fillId="22" borderId="83" xfId="6" applyFont="1" applyBorder="1" applyAlignment="1">
      <alignment horizontal="center" vertical="center"/>
    </xf>
    <xf numFmtId="0" fontId="43" fillId="23" borderId="0" xfId="0" applyFont="1" applyFill="1" applyBorder="1" applyAlignment="1">
      <alignment horizontal="center" vertical="center" wrapText="1"/>
    </xf>
    <xf numFmtId="0" fontId="43" fillId="27" borderId="121" xfId="9" applyFont="1" applyBorder="1" applyAlignment="1">
      <alignment horizontal="center"/>
    </xf>
    <xf numFmtId="0" fontId="43" fillId="27" borderId="122" xfId="9" applyFont="1" applyBorder="1" applyAlignment="1">
      <alignment horizontal="center"/>
    </xf>
    <xf numFmtId="0" fontId="43" fillId="27" borderId="123" xfId="9" applyFont="1" applyBorder="1" applyAlignment="1">
      <alignment horizontal="center"/>
    </xf>
    <xf numFmtId="0" fontId="23" fillId="0" borderId="25" xfId="7" applyFont="1" applyBorder="1" applyAlignment="1" applyProtection="1">
      <alignment horizontal="center" vertical="center" wrapText="1"/>
      <protection hidden="1"/>
    </xf>
    <xf numFmtId="0" fontId="24" fillId="0" borderId="60" xfId="7" applyFont="1" applyBorder="1" applyAlignment="1" applyProtection="1">
      <alignment horizontal="center" vertical="center" wrapText="1"/>
      <protection hidden="1"/>
    </xf>
    <xf numFmtId="0" fontId="24" fillId="0" borderId="27" xfId="7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14" fontId="31" fillId="32" borderId="62" xfId="0" applyNumberFormat="1" applyFont="1" applyFill="1" applyBorder="1" applyAlignment="1" applyProtection="1">
      <alignment horizontal="center"/>
    </xf>
    <xf numFmtId="0" fontId="0" fillId="25" borderId="160" xfId="0" applyFill="1" applyBorder="1" applyAlignment="1"/>
    <xf numFmtId="0" fontId="0" fillId="25" borderId="161" xfId="0" applyFill="1" applyBorder="1" applyAlignment="1"/>
    <xf numFmtId="0" fontId="0" fillId="25" borderId="162" xfId="0" applyFill="1" applyBorder="1"/>
    <xf numFmtId="0" fontId="0" fillId="25" borderId="163" xfId="0" applyFill="1" applyBorder="1" applyAlignment="1"/>
    <xf numFmtId="0" fontId="0" fillId="25" borderId="164" xfId="0" applyFill="1" applyBorder="1"/>
    <xf numFmtId="14" fontId="20" fillId="25" borderId="164" xfId="0" applyNumberFormat="1" applyFont="1" applyFill="1" applyBorder="1" applyAlignment="1" applyProtection="1"/>
    <xf numFmtId="0" fontId="0" fillId="25" borderId="163" xfId="0" applyFill="1" applyBorder="1"/>
    <xf numFmtId="0" fontId="0" fillId="25" borderId="165" xfId="0" applyFill="1" applyBorder="1"/>
    <xf numFmtId="0" fontId="0" fillId="25" borderId="166" xfId="0" applyFill="1" applyBorder="1"/>
    <xf numFmtId="0" fontId="0" fillId="25" borderId="167" xfId="0" applyFill="1" applyBorder="1"/>
    <xf numFmtId="0" fontId="12" fillId="0" borderId="6" xfId="7" applyFont="1" applyBorder="1" applyAlignment="1" applyProtection="1">
      <alignment horizontal="center" vertical="center"/>
      <protection hidden="1"/>
    </xf>
    <xf numFmtId="0" fontId="12" fillId="0" borderId="7" xfId="7" quotePrefix="1" applyFont="1" applyBorder="1" applyAlignment="1" applyProtection="1">
      <alignment horizontal="center" vertical="center"/>
      <protection hidden="1"/>
    </xf>
    <xf numFmtId="0" fontId="12" fillId="0" borderId="8" xfId="7" quotePrefix="1" applyFont="1" applyBorder="1" applyAlignment="1" applyProtection="1">
      <alignment horizontal="center" vertical="center"/>
      <protection hidden="1"/>
    </xf>
    <xf numFmtId="0" fontId="78" fillId="32" borderId="0" xfId="0" applyFont="1" applyFill="1"/>
    <xf numFmtId="1" fontId="78" fillId="32" borderId="0" xfId="0" applyNumberFormat="1" applyFont="1" applyFill="1"/>
    <xf numFmtId="164" fontId="78" fillId="32" borderId="0" xfId="0" applyNumberFormat="1" applyFont="1" applyFill="1"/>
    <xf numFmtId="2" fontId="78" fillId="32" borderId="0" xfId="0" applyNumberFormat="1" applyFont="1" applyFill="1"/>
    <xf numFmtId="0" fontId="57" fillId="36" borderId="70" xfId="0" applyFont="1" applyFill="1" applyBorder="1" applyAlignment="1">
      <alignment horizontal="center" vertical="center" wrapText="1"/>
    </xf>
    <xf numFmtId="0" fontId="0" fillId="32" borderId="0" xfId="0" applyFill="1"/>
    <xf numFmtId="3" fontId="78" fillId="32" borderId="0" xfId="0" applyNumberFormat="1" applyFont="1" applyFill="1"/>
    <xf numFmtId="0" fontId="63" fillId="36" borderId="76" xfId="0" applyFont="1" applyFill="1" applyBorder="1" applyAlignment="1">
      <alignment horizontal="center" vertical="center"/>
    </xf>
    <xf numFmtId="0" fontId="63" fillId="36" borderId="77" xfId="0" applyFont="1" applyFill="1" applyBorder="1" applyAlignment="1">
      <alignment horizontal="center" vertical="center"/>
    </xf>
    <xf numFmtId="0" fontId="63" fillId="36" borderId="78" xfId="0" applyFont="1" applyFill="1" applyBorder="1" applyAlignment="1">
      <alignment horizontal="center" vertical="center"/>
    </xf>
    <xf numFmtId="14" fontId="0" fillId="25" borderId="0" xfId="0" applyNumberFormat="1" applyFill="1" applyBorder="1" applyAlignment="1">
      <alignment horizontal="center"/>
    </xf>
    <xf numFmtId="0" fontId="66" fillId="25" borderId="0" xfId="0" applyFont="1" applyFill="1" applyBorder="1" applyAlignment="1">
      <alignment horizontal="left" vertical="center"/>
    </xf>
    <xf numFmtId="0" fontId="66" fillId="25" borderId="0" xfId="0" applyFont="1" applyFill="1" applyBorder="1" applyAlignment="1">
      <alignment vertical="center"/>
    </xf>
    <xf numFmtId="0" fontId="67" fillId="25" borderId="0" xfId="0" applyFont="1" applyFill="1" applyBorder="1" applyAlignment="1"/>
    <xf numFmtId="0" fontId="71" fillId="25" borderId="0" xfId="0" applyFont="1" applyFill="1" applyBorder="1" applyAlignment="1"/>
    <xf numFmtId="0" fontId="57" fillId="36" borderId="117" xfId="0" applyFont="1" applyFill="1" applyBorder="1" applyAlignment="1">
      <alignment horizontal="center" vertical="center" wrapText="1"/>
    </xf>
    <xf numFmtId="0" fontId="28" fillId="36" borderId="129" xfId="0" applyFont="1" applyFill="1" applyBorder="1" applyAlignment="1">
      <alignment horizontal="center"/>
    </xf>
    <xf numFmtId="0" fontId="28" fillId="36" borderId="62" xfId="0" applyFont="1" applyFill="1" applyBorder="1" applyAlignment="1">
      <alignment horizontal="center"/>
    </xf>
    <xf numFmtId="0" fontId="28" fillId="36" borderId="130" xfId="0" applyFont="1" applyFill="1" applyBorder="1" applyAlignment="1">
      <alignment horizontal="center"/>
    </xf>
    <xf numFmtId="0" fontId="28" fillId="36" borderId="131" xfId="0" applyFont="1" applyFill="1" applyBorder="1" applyAlignment="1">
      <alignment horizontal="center"/>
    </xf>
    <xf numFmtId="0" fontId="63" fillId="36" borderId="85" xfId="0" applyFont="1" applyFill="1" applyBorder="1" applyAlignment="1">
      <alignment horizontal="center" vertical="center"/>
    </xf>
    <xf numFmtId="0" fontId="63" fillId="36" borderId="86" xfId="0" applyFont="1" applyFill="1" applyBorder="1" applyAlignment="1">
      <alignment horizontal="center" vertical="center"/>
    </xf>
    <xf numFmtId="0" fontId="57" fillId="36" borderId="107" xfId="0" applyFont="1" applyFill="1" applyBorder="1" applyAlignment="1">
      <alignment horizontal="center" vertical="center" wrapText="1"/>
    </xf>
    <xf numFmtId="0" fontId="57" fillId="36" borderId="156" xfId="0" applyFont="1" applyFill="1" applyBorder="1" applyAlignment="1">
      <alignment horizontal="center" vertical="center" wrapText="1"/>
    </xf>
    <xf numFmtId="0" fontId="63" fillId="36" borderId="82" xfId="0" applyFont="1" applyFill="1" applyBorder="1" applyAlignment="1">
      <alignment horizontal="center" vertical="center"/>
    </xf>
    <xf numFmtId="0" fontId="63" fillId="36" borderId="83" xfId="0" applyFont="1" applyFill="1" applyBorder="1" applyAlignment="1">
      <alignment horizontal="center" vertical="center"/>
    </xf>
    <xf numFmtId="0" fontId="63" fillId="36" borderId="84" xfId="0" applyFont="1" applyFill="1" applyBorder="1" applyAlignment="1">
      <alignment horizontal="center" vertical="center"/>
    </xf>
    <xf numFmtId="4" fontId="74" fillId="23" borderId="26" xfId="5" applyNumberFormat="1" applyFont="1" applyFill="1" applyBorder="1" applyAlignment="1" applyProtection="1">
      <alignment horizontal="center" vertical="center"/>
      <protection hidden="1"/>
    </xf>
    <xf numFmtId="164" fontId="77" fillId="37" borderId="0" xfId="5" applyNumberFormat="1" applyFont="1" applyFill="1" applyBorder="1" applyAlignment="1" applyProtection="1">
      <alignment horizontal="center" vertical="center"/>
      <protection hidden="1"/>
    </xf>
    <xf numFmtId="2" fontId="77" fillId="37" borderId="0" xfId="5" applyNumberFormat="1" applyFont="1" applyFill="1" applyBorder="1" applyAlignment="1" applyProtection="1">
      <alignment horizontal="center" vertical="center"/>
      <protection hidden="1"/>
    </xf>
    <xf numFmtId="164" fontId="51" fillId="37" borderId="0" xfId="5" applyNumberFormat="1" applyFont="1" applyFill="1" applyBorder="1" applyAlignment="1" applyProtection="1">
      <alignment horizontal="center" vertical="center"/>
      <protection hidden="1"/>
    </xf>
    <xf numFmtId="2" fontId="51" fillId="37" borderId="0" xfId="5" applyNumberFormat="1" applyFont="1" applyFill="1" applyBorder="1" applyAlignment="1" applyProtection="1">
      <alignment horizontal="center" vertical="center"/>
      <protection hidden="1"/>
    </xf>
    <xf numFmtId="164" fontId="50" fillId="37" borderId="0" xfId="5" applyNumberFormat="1" applyFont="1" applyFill="1" applyBorder="1" applyAlignment="1" applyProtection="1">
      <alignment horizontal="center" vertical="center"/>
      <protection hidden="1"/>
    </xf>
    <xf numFmtId="2" fontId="50" fillId="37" borderId="0" xfId="5" applyNumberFormat="1" applyFont="1" applyFill="1" applyBorder="1" applyAlignment="1" applyProtection="1">
      <alignment horizontal="center" vertical="center"/>
      <protection hidden="1"/>
    </xf>
    <xf numFmtId="164" fontId="52" fillId="37" borderId="0" xfId="5" applyNumberFormat="1" applyFont="1" applyFill="1" applyBorder="1" applyAlignment="1" applyProtection="1">
      <alignment horizontal="center" vertical="center"/>
      <protection hidden="1"/>
    </xf>
    <xf numFmtId="2" fontId="52" fillId="37" borderId="0" xfId="5" applyNumberFormat="1" applyFont="1" applyFill="1" applyBorder="1" applyAlignment="1" applyProtection="1">
      <alignment horizontal="center" vertical="center"/>
      <protection hidden="1"/>
    </xf>
    <xf numFmtId="0" fontId="58" fillId="23" borderId="102" xfId="1" applyFont="1" applyFill="1" applyBorder="1" applyAlignment="1">
      <alignment horizontal="center" vertical="center" wrapText="1"/>
    </xf>
    <xf numFmtId="0" fontId="58" fillId="24" borderId="102" xfId="1" applyFont="1" applyFill="1" applyBorder="1" applyAlignment="1">
      <alignment horizontal="center" vertical="center" wrapText="1"/>
    </xf>
    <xf numFmtId="0" fontId="0" fillId="25" borderId="161" xfId="0" applyFill="1" applyBorder="1"/>
    <xf numFmtId="0" fontId="60" fillId="25" borderId="0" xfId="6" applyFont="1" applyFill="1" applyBorder="1" applyAlignment="1">
      <alignment horizontal="center" vertical="center"/>
    </xf>
    <xf numFmtId="0" fontId="61" fillId="25" borderId="0" xfId="6" applyFont="1" applyFill="1" applyBorder="1" applyAlignment="1">
      <alignment horizontal="center" vertical="center"/>
    </xf>
    <xf numFmtId="0" fontId="82" fillId="25" borderId="0" xfId="0" applyFont="1" applyFill="1" applyBorder="1"/>
    <xf numFmtId="0" fontId="81" fillId="25" borderId="0" xfId="0" applyFont="1" applyFill="1" applyBorder="1" applyAlignment="1"/>
    <xf numFmtId="0" fontId="81" fillId="25" borderId="0" xfId="0" applyFont="1" applyFill="1" applyBorder="1" applyAlignment="1">
      <alignment horizontal="center" textRotation="255"/>
    </xf>
    <xf numFmtId="0" fontId="81" fillId="25" borderId="0" xfId="0" applyFont="1" applyFill="1" applyBorder="1" applyAlignment="1">
      <alignment horizontal="center" wrapText="1"/>
    </xf>
    <xf numFmtId="0" fontId="83" fillId="25" borderId="0" xfId="0" applyFont="1" applyFill="1" applyBorder="1" applyAlignment="1">
      <alignment horizontal="center" wrapText="1"/>
    </xf>
    <xf numFmtId="2" fontId="83" fillId="25" borderId="0" xfId="0" applyNumberFormat="1" applyFont="1" applyFill="1" applyBorder="1" applyAlignment="1">
      <alignment horizontal="center"/>
    </xf>
    <xf numFmtId="2" fontId="84" fillId="25" borderId="0" xfId="4" applyNumberFormat="1" applyFont="1" applyFill="1" applyBorder="1" applyAlignment="1" applyProtection="1">
      <alignment horizontal="center"/>
      <protection hidden="1"/>
    </xf>
    <xf numFmtId="164" fontId="84" fillId="25" borderId="0" xfId="4" applyNumberFormat="1" applyFont="1" applyFill="1" applyBorder="1" applyAlignment="1" applyProtection="1">
      <alignment horizontal="center"/>
      <protection hidden="1"/>
    </xf>
    <xf numFmtId="164" fontId="70" fillId="25" borderId="0" xfId="0" applyNumberFormat="1" applyFont="1" applyFill="1" applyBorder="1"/>
    <xf numFmtId="2" fontId="70" fillId="25" borderId="0" xfId="0" applyNumberFormat="1" applyFont="1" applyFill="1" applyBorder="1"/>
    <xf numFmtId="0" fontId="83" fillId="25" borderId="0" xfId="0" applyFont="1" applyFill="1" applyBorder="1" applyAlignment="1">
      <alignment horizontal="center"/>
    </xf>
    <xf numFmtId="164" fontId="85" fillId="25" borderId="0" xfId="0" applyNumberFormat="1" applyFont="1" applyFill="1" applyBorder="1" applyAlignment="1" applyProtection="1">
      <alignment horizontal="center"/>
      <protection hidden="1"/>
    </xf>
    <xf numFmtId="0" fontId="0" fillId="25" borderId="162" xfId="0" applyFill="1" applyBorder="1" applyAlignment="1"/>
    <xf numFmtId="0" fontId="0" fillId="25" borderId="164" xfId="0" applyFill="1" applyBorder="1" applyAlignment="1"/>
    <xf numFmtId="0" fontId="60" fillId="22" borderId="0" xfId="6" applyFont="1" applyBorder="1" applyAlignment="1">
      <alignment horizontal="center" vertical="center"/>
    </xf>
    <xf numFmtId="0" fontId="43" fillId="27" borderId="99" xfId="9" applyFont="1" applyBorder="1" applyAlignment="1">
      <alignment horizontal="center"/>
    </xf>
    <xf numFmtId="0" fontId="60" fillId="25" borderId="164" xfId="6" applyFont="1" applyFill="1" applyBorder="1" applyAlignment="1">
      <alignment vertical="center"/>
    </xf>
    <xf numFmtId="0" fontId="0" fillId="25" borderId="163" xfId="0" applyFill="1" applyBorder="1" applyProtection="1">
      <protection locked="0"/>
    </xf>
    <xf numFmtId="0" fontId="0" fillId="25" borderId="0" xfId="0" applyFill="1" applyBorder="1" applyProtection="1">
      <protection locked="0"/>
    </xf>
    <xf numFmtId="0" fontId="0" fillId="25" borderId="164" xfId="0" applyFill="1" applyBorder="1" applyProtection="1">
      <protection locked="0"/>
    </xf>
    <xf numFmtId="0" fontId="10" fillId="25" borderId="0" xfId="0" applyFont="1" applyFill="1" applyBorder="1" applyProtection="1">
      <protection locked="0"/>
    </xf>
    <xf numFmtId="0" fontId="63" fillId="36" borderId="76" xfId="0" applyFont="1" applyFill="1" applyBorder="1" applyAlignment="1" applyProtection="1">
      <alignment horizontal="center" vertical="center"/>
      <protection locked="0"/>
    </xf>
    <xf numFmtId="0" fontId="63" fillId="36" borderId="77" xfId="0" applyFont="1" applyFill="1" applyBorder="1" applyAlignment="1" applyProtection="1">
      <alignment horizontal="center" vertical="center"/>
      <protection locked="0"/>
    </xf>
    <xf numFmtId="0" fontId="44" fillId="32" borderId="0" xfId="2" applyFont="1" applyFill="1" applyBorder="1" applyAlignment="1" applyProtection="1">
      <alignment horizontal="right" vertical="center"/>
      <protection locked="0"/>
    </xf>
    <xf numFmtId="0" fontId="70" fillId="25" borderId="0" xfId="0" applyFont="1" applyFill="1" applyBorder="1" applyProtection="1">
      <protection locked="0"/>
    </xf>
    <xf numFmtId="164" fontId="0" fillId="25" borderId="0" xfId="0" applyNumberFormat="1" applyFill="1" applyBorder="1" applyProtection="1">
      <protection locked="0"/>
    </xf>
    <xf numFmtId="164" fontId="0" fillId="25" borderId="164" xfId="0" applyNumberFormat="1" applyFill="1" applyBorder="1" applyProtection="1">
      <protection locked="0"/>
    </xf>
    <xf numFmtId="0" fontId="61" fillId="25" borderId="0" xfId="6" applyFont="1" applyFill="1" applyBorder="1" applyAlignment="1" applyProtection="1">
      <alignment horizontal="center" vertical="center"/>
      <protection locked="0"/>
    </xf>
    <xf numFmtId="0" fontId="42" fillId="17" borderId="132" xfId="1" applyFont="1" applyBorder="1" applyAlignment="1" applyProtection="1">
      <alignment horizontal="center" vertical="center" wrapText="1"/>
      <protection locked="0"/>
    </xf>
    <xf numFmtId="0" fontId="42" fillId="17" borderId="133" xfId="1" applyFont="1" applyBorder="1" applyAlignment="1" applyProtection="1">
      <alignment horizontal="center" vertical="center" wrapText="1"/>
      <protection locked="0"/>
    </xf>
    <xf numFmtId="0" fontId="62" fillId="36" borderId="13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57" fillId="36" borderId="137" xfId="1" applyFont="1" applyFill="1" applyBorder="1" applyAlignment="1" applyProtection="1">
      <alignment horizontal="center" vertical="center" wrapText="1"/>
      <protection locked="0"/>
    </xf>
    <xf numFmtId="164" fontId="34" fillId="5" borderId="136" xfId="0" applyNumberFormat="1" applyFont="1" applyFill="1" applyBorder="1" applyAlignment="1" applyProtection="1">
      <alignment horizontal="center" vertical="center"/>
      <protection locked="0"/>
    </xf>
    <xf numFmtId="0" fontId="57" fillId="36" borderId="74" xfId="1" applyFont="1" applyFill="1" applyBorder="1" applyAlignment="1" applyProtection="1">
      <alignment horizontal="center" vertical="center" wrapText="1"/>
      <protection locked="0"/>
    </xf>
    <xf numFmtId="164" fontId="34" fillId="5" borderId="64" xfId="0" applyNumberFormat="1" applyFont="1" applyFill="1" applyBorder="1" applyAlignment="1" applyProtection="1">
      <alignment horizontal="center" vertical="center"/>
      <protection locked="0"/>
    </xf>
    <xf numFmtId="0" fontId="39" fillId="36" borderId="133" xfId="1" applyFont="1" applyFill="1" applyBorder="1" applyAlignment="1" applyProtection="1">
      <alignment horizontal="center" vertical="center" wrapText="1"/>
      <protection locked="0"/>
    </xf>
    <xf numFmtId="0" fontId="39" fillId="36" borderId="138" xfId="1" applyFont="1" applyFill="1" applyBorder="1" applyAlignment="1" applyProtection="1">
      <alignment horizontal="center" vertical="center" wrapText="1"/>
      <protection locked="0"/>
    </xf>
    <xf numFmtId="0" fontId="11" fillId="25" borderId="164" xfId="0" applyFont="1" applyFill="1" applyBorder="1" applyAlignment="1" applyProtection="1">
      <alignment horizontal="center" wrapText="1"/>
      <protection locked="0"/>
    </xf>
    <xf numFmtId="0" fontId="43" fillId="23" borderId="0" xfId="1" applyFont="1" applyFill="1" applyBorder="1" applyAlignment="1" applyProtection="1">
      <alignment horizontal="center" vertical="center"/>
      <protection locked="0"/>
    </xf>
    <xf numFmtId="2" fontId="37" fillId="32" borderId="135" xfId="4" applyNumberFormat="1" applyFill="1" applyBorder="1" applyAlignment="1" applyProtection="1">
      <alignment horizontal="center" vertical="center"/>
      <protection locked="0"/>
    </xf>
    <xf numFmtId="164" fontId="34" fillId="5" borderId="28" xfId="0" applyNumberFormat="1" applyFont="1" applyFill="1" applyBorder="1" applyAlignment="1" applyProtection="1">
      <alignment horizontal="center" vertical="center"/>
      <protection locked="0"/>
    </xf>
    <xf numFmtId="167" fontId="0" fillId="25" borderId="164" xfId="0" applyNumberFormat="1" applyFill="1" applyBorder="1" applyProtection="1">
      <protection locked="0"/>
    </xf>
    <xf numFmtId="164" fontId="34" fillId="5" borderId="24" xfId="0" applyNumberFormat="1" applyFont="1" applyFill="1" applyBorder="1" applyAlignment="1" applyProtection="1">
      <alignment horizontal="center" vertical="center"/>
      <protection locked="0"/>
    </xf>
    <xf numFmtId="164" fontId="34" fillId="5" borderId="63" xfId="0" applyNumberFormat="1" applyFont="1" applyFill="1" applyBorder="1" applyAlignment="1" applyProtection="1">
      <alignment horizontal="center" vertical="center"/>
      <protection locked="0"/>
    </xf>
    <xf numFmtId="164" fontId="34" fillId="5" borderId="24" xfId="0" applyNumberFormat="1" applyFont="1" applyFill="1" applyBorder="1" applyAlignment="1" applyProtection="1">
      <alignment horizontal="center" vertical="center"/>
      <protection locked="0"/>
    </xf>
    <xf numFmtId="0" fontId="0" fillId="25" borderId="165" xfId="0" applyFill="1" applyBorder="1" applyProtection="1">
      <protection locked="0"/>
    </xf>
    <xf numFmtId="0" fontId="0" fillId="25" borderId="166" xfId="0" applyFill="1" applyBorder="1" applyProtection="1">
      <protection locked="0"/>
    </xf>
    <xf numFmtId="0" fontId="11" fillId="25" borderId="166" xfId="0" applyFont="1" applyFill="1" applyBorder="1" applyProtection="1">
      <protection locked="0"/>
    </xf>
    <xf numFmtId="164" fontId="0" fillId="25" borderId="166" xfId="0" applyNumberFormat="1" applyFill="1" applyBorder="1" applyProtection="1">
      <protection locked="0"/>
    </xf>
    <xf numFmtId="0" fontId="0" fillId="25" borderId="167" xfId="0" applyFill="1" applyBorder="1" applyProtection="1">
      <protection locked="0"/>
    </xf>
    <xf numFmtId="0" fontId="70" fillId="25" borderId="0" xfId="0" applyFont="1" applyFill="1" applyBorder="1" applyProtection="1"/>
    <xf numFmtId="2" fontId="0" fillId="0" borderId="0" xfId="0" applyNumberFormat="1" applyBorder="1" applyAlignment="1" applyProtection="1">
      <alignment horizontal="center"/>
    </xf>
    <xf numFmtId="0" fontId="44" fillId="32" borderId="0" xfId="2" applyFont="1" applyFill="1" applyBorder="1" applyAlignment="1" applyProtection="1">
      <alignment horizontal="right" vertical="center"/>
    </xf>
    <xf numFmtId="0" fontId="0" fillId="25" borderId="160" xfId="0" applyFill="1" applyBorder="1" applyProtection="1"/>
    <xf numFmtId="0" fontId="0" fillId="25" borderId="161" xfId="0" applyFill="1" applyBorder="1" applyProtection="1"/>
    <xf numFmtId="0" fontId="0" fillId="25" borderId="162" xfId="0" applyFill="1" applyBorder="1" applyProtection="1"/>
    <xf numFmtId="0" fontId="0" fillId="25" borderId="163" xfId="0" applyFill="1" applyBorder="1" applyProtection="1"/>
    <xf numFmtId="0" fontId="0" fillId="25" borderId="0" xfId="0" applyFill="1" applyBorder="1" applyAlignment="1" applyProtection="1"/>
    <xf numFmtId="0" fontId="14" fillId="25" borderId="0" xfId="0" applyFont="1" applyFill="1" applyBorder="1" applyAlignment="1" applyProtection="1">
      <alignment horizontal="right"/>
    </xf>
    <xf numFmtId="0" fontId="0" fillId="7" borderId="62" xfId="0" applyFill="1" applyBorder="1" applyAlignment="1" applyProtection="1">
      <alignment horizontal="center"/>
    </xf>
    <xf numFmtId="0" fontId="0" fillId="25" borderId="0" xfId="0" applyFill="1" applyBorder="1" applyAlignment="1" applyProtection="1">
      <alignment horizontal="right"/>
    </xf>
    <xf numFmtId="0" fontId="0" fillId="25" borderId="0" xfId="0" applyFill="1" applyBorder="1" applyProtection="1"/>
    <xf numFmtId="0" fontId="0" fillId="25" borderId="164" xfId="0" applyFill="1" applyBorder="1" applyProtection="1"/>
    <xf numFmtId="14" fontId="0" fillId="7" borderId="62" xfId="0" applyNumberFormat="1" applyFill="1" applyBorder="1" applyAlignment="1" applyProtection="1">
      <alignment horizontal="center"/>
    </xf>
    <xf numFmtId="0" fontId="0" fillId="25" borderId="0" xfId="0" applyFill="1" applyBorder="1" applyAlignment="1" applyProtection="1">
      <alignment horizontal="center"/>
    </xf>
    <xf numFmtId="14" fontId="0" fillId="25" borderId="0" xfId="0" applyNumberFormat="1" applyFill="1" applyBorder="1" applyAlignment="1" applyProtection="1">
      <alignment horizontal="center"/>
    </xf>
    <xf numFmtId="0" fontId="64" fillId="25" borderId="0" xfId="0" applyFont="1" applyFill="1" applyBorder="1" applyAlignment="1" applyProtection="1"/>
    <xf numFmtId="0" fontId="10" fillId="25" borderId="0" xfId="0" applyFont="1" applyFill="1" applyBorder="1" applyProtection="1"/>
    <xf numFmtId="0" fontId="29" fillId="25" borderId="0" xfId="0" applyFont="1" applyFill="1" applyBorder="1" applyAlignment="1" applyProtection="1">
      <alignment horizontal="right" vertical="center"/>
    </xf>
    <xf numFmtId="0" fontId="38" fillId="36" borderId="140" xfId="8" applyFill="1" applyBorder="1" applyAlignment="1" applyProtection="1">
      <alignment horizontal="center" vertical="center" wrapText="1"/>
    </xf>
    <xf numFmtId="0" fontId="38" fillId="36" borderId="145" xfId="8" applyFill="1" applyBorder="1" applyAlignment="1" applyProtection="1">
      <alignment horizontal="center" vertical="center" wrapText="1"/>
    </xf>
    <xf numFmtId="0" fontId="72" fillId="25" borderId="0" xfId="6" applyFont="1" applyFill="1" applyBorder="1" applyAlignment="1" applyProtection="1">
      <alignment horizontal="center" vertical="center"/>
    </xf>
    <xf numFmtId="0" fontId="68" fillId="30" borderId="139" xfId="11" applyFont="1" applyBorder="1" applyAlignment="1" applyProtection="1">
      <alignment horizontal="center" vertical="center" wrapText="1"/>
    </xf>
    <xf numFmtId="0" fontId="68" fillId="30" borderId="147" xfId="11" applyFont="1" applyBorder="1" applyAlignment="1" applyProtection="1">
      <alignment horizontal="center" vertical="center" wrapText="1"/>
    </xf>
    <xf numFmtId="0" fontId="34" fillId="25" borderId="0" xfId="0" applyFont="1" applyFill="1" applyBorder="1" applyAlignment="1" applyProtection="1">
      <alignment horizontal="centerContinuous" vertical="center"/>
    </xf>
    <xf numFmtId="0" fontId="66" fillId="25" borderId="0" xfId="0" applyFont="1" applyFill="1" applyBorder="1" applyAlignment="1" applyProtection="1">
      <alignment horizontal="center" wrapText="1"/>
    </xf>
    <xf numFmtId="164" fontId="0" fillId="25" borderId="0" xfId="0" applyNumberFormat="1" applyFill="1" applyBorder="1" applyProtection="1"/>
    <xf numFmtId="165" fontId="0" fillId="25" borderId="0" xfId="0" applyNumberFormat="1" applyFill="1" applyBorder="1" applyProtection="1"/>
    <xf numFmtId="0" fontId="0" fillId="25" borderId="0" xfId="0" applyFill="1" applyBorder="1" applyAlignment="1" applyProtection="1">
      <alignment horizontal="center"/>
    </xf>
    <xf numFmtId="0" fontId="42" fillId="28" borderId="142" xfId="1" applyFont="1" applyFill="1" applyBorder="1" applyAlignment="1" applyProtection="1">
      <alignment horizontal="center" vertical="center" wrapText="1"/>
    </xf>
    <xf numFmtId="164" fontId="34" fillId="5" borderId="0" xfId="0" applyNumberFormat="1" applyFont="1" applyFill="1" applyBorder="1" applyAlignment="1" applyProtection="1">
      <alignment horizontal="center" vertical="center"/>
    </xf>
    <xf numFmtId="170" fontId="33" fillId="16" borderId="146" xfId="0" applyNumberFormat="1" applyFont="1" applyFill="1" applyBorder="1" applyAlignment="1" applyProtection="1">
      <alignment horizontal="center" vertical="center"/>
    </xf>
    <xf numFmtId="0" fontId="38" fillId="36" borderId="149" xfId="8" applyFill="1" applyBorder="1" applyAlignment="1" applyProtection="1">
      <alignment horizontal="center" vertical="center" wrapText="1"/>
    </xf>
    <xf numFmtId="0" fontId="38" fillId="29" borderId="146" xfId="10" applyBorder="1" applyAlignment="1" applyProtection="1">
      <alignment horizontal="center" vertical="center"/>
    </xf>
    <xf numFmtId="170" fontId="33" fillId="16" borderId="0" xfId="0" applyNumberFormat="1" applyFont="1" applyFill="1" applyBorder="1" applyAlignment="1" applyProtection="1">
      <alignment horizontal="center" vertical="center"/>
    </xf>
    <xf numFmtId="0" fontId="38" fillId="36" borderId="148" xfId="8" applyFill="1" applyBorder="1" applyAlignment="1" applyProtection="1">
      <alignment horizontal="center" vertical="center" wrapText="1"/>
    </xf>
    <xf numFmtId="0" fontId="69" fillId="37" borderId="141" xfId="12" applyFill="1" applyBorder="1" applyAlignment="1" applyProtection="1">
      <alignment horizontal="center" vertical="center" wrapText="1"/>
    </xf>
    <xf numFmtId="0" fontId="69" fillId="37" borderId="141" xfId="12" applyFill="1" applyBorder="1" applyAlignment="1" applyProtection="1">
      <alignment horizontal="center"/>
    </xf>
    <xf numFmtId="164" fontId="69" fillId="37" borderId="141" xfId="12" applyNumberFormat="1" applyFill="1" applyBorder="1" applyAlignment="1" applyProtection="1">
      <alignment horizontal="center" vertical="center"/>
    </xf>
    <xf numFmtId="170" fontId="33" fillId="36" borderId="0" xfId="0" applyNumberFormat="1" applyFont="1" applyFill="1" applyBorder="1" applyAlignment="1" applyProtection="1">
      <alignment horizontal="center" vertical="center"/>
    </xf>
    <xf numFmtId="0" fontId="69" fillId="37" borderId="141" xfId="12" applyFill="1" applyBorder="1" applyAlignment="1" applyProtection="1">
      <alignment horizontal="center" vertical="center"/>
    </xf>
    <xf numFmtId="165" fontId="69" fillId="37" borderId="141" xfId="12" applyNumberFormat="1" applyFill="1" applyBorder="1" applyAlignment="1" applyProtection="1">
      <alignment horizontal="center" vertical="center"/>
    </xf>
    <xf numFmtId="0" fontId="6" fillId="32" borderId="119" xfId="4" applyFont="1" applyFill="1" applyBorder="1" applyAlignment="1" applyProtection="1">
      <alignment horizontal="center"/>
      <protection locked="0"/>
    </xf>
    <xf numFmtId="0" fontId="6" fillId="32" borderId="116" xfId="4" applyFont="1" applyFill="1" applyBorder="1" applyAlignment="1" applyProtection="1">
      <alignment horizontal="center"/>
      <protection locked="0"/>
    </xf>
    <xf numFmtId="0" fontId="6" fillId="32" borderId="110" xfId="4" applyFont="1" applyFill="1" applyBorder="1" applyAlignment="1" applyProtection="1">
      <alignment horizontal="center"/>
      <protection locked="0"/>
    </xf>
    <xf numFmtId="0" fontId="6" fillId="32" borderId="111" xfId="4" applyFont="1" applyFill="1" applyBorder="1" applyAlignment="1" applyProtection="1">
      <alignment horizontal="center"/>
      <protection locked="0"/>
    </xf>
    <xf numFmtId="0" fontId="6" fillId="32" borderId="112" xfId="4" applyFont="1" applyFill="1" applyBorder="1" applyAlignment="1" applyProtection="1">
      <alignment horizontal="center"/>
      <protection locked="0"/>
    </xf>
    <xf numFmtId="0" fontId="6" fillId="32" borderId="124" xfId="4" applyFont="1" applyFill="1" applyBorder="1" applyAlignment="1" applyProtection="1">
      <alignment horizontal="center"/>
      <protection locked="0"/>
    </xf>
    <xf numFmtId="0" fontId="6" fillId="32" borderId="88" xfId="4" applyFont="1" applyFill="1" applyBorder="1" applyAlignment="1" applyProtection="1">
      <alignment horizontal="center"/>
      <protection locked="0"/>
    </xf>
    <xf numFmtId="0" fontId="6" fillId="32" borderId="127" xfId="4" applyFont="1" applyFill="1" applyBorder="1" applyAlignment="1" applyProtection="1">
      <alignment horizontal="center"/>
      <protection locked="0"/>
    </xf>
    <xf numFmtId="0" fontId="6" fillId="32" borderId="120" xfId="4" applyFont="1" applyFill="1" applyBorder="1" applyAlignment="1" applyProtection="1">
      <alignment horizontal="center"/>
      <protection locked="0"/>
    </xf>
    <xf numFmtId="0" fontId="6" fillId="32" borderId="97" xfId="4" applyFont="1" applyFill="1" applyBorder="1" applyAlignment="1" applyProtection="1">
      <alignment horizontal="center"/>
      <protection locked="0"/>
    </xf>
    <xf numFmtId="0" fontId="6" fillId="32" borderId="91" xfId="4" applyFont="1" applyFill="1" applyBorder="1" applyAlignment="1" applyProtection="1">
      <alignment horizontal="center"/>
      <protection locked="0"/>
    </xf>
    <xf numFmtId="0" fontId="6" fillId="32" borderId="115" xfId="4" applyFont="1" applyFill="1" applyBorder="1" applyAlignment="1" applyProtection="1">
      <alignment horizontal="center"/>
      <protection locked="0"/>
    </xf>
    <xf numFmtId="0" fontId="6" fillId="32" borderId="114" xfId="4" applyFont="1" applyFill="1" applyBorder="1" applyAlignment="1" applyProtection="1">
      <alignment horizontal="center"/>
      <protection locked="0"/>
    </xf>
    <xf numFmtId="0" fontId="6" fillId="32" borderId="113" xfId="4" applyFont="1" applyFill="1" applyBorder="1" applyAlignment="1" applyProtection="1">
      <alignment horizontal="center"/>
      <protection locked="0"/>
    </xf>
    <xf numFmtId="0" fontId="6" fillId="32" borderId="125" xfId="4" applyFont="1" applyFill="1" applyBorder="1" applyAlignment="1" applyProtection="1">
      <alignment horizontal="center"/>
      <protection locked="0"/>
    </xf>
    <xf numFmtId="0" fontId="6" fillId="32" borderId="126" xfId="4" applyFont="1" applyFill="1" applyBorder="1" applyAlignment="1" applyProtection="1">
      <alignment horizontal="center"/>
      <protection locked="0"/>
    </xf>
    <xf numFmtId="1" fontId="6" fillId="32" borderId="92" xfId="4" applyNumberFormat="1" applyFont="1" applyFill="1" applyBorder="1" applyAlignment="1" applyProtection="1">
      <alignment horizontal="center"/>
      <protection locked="0"/>
    </xf>
    <xf numFmtId="0" fontId="6" fillId="32" borderId="128" xfId="4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2" xfId="0" applyBorder="1" applyAlignment="1" applyProtection="1">
      <alignment horizontal="center"/>
      <protection locked="0"/>
    </xf>
    <xf numFmtId="2" fontId="7" fillId="32" borderId="95" xfId="4" applyNumberFormat="1" applyFont="1" applyFill="1" applyBorder="1" applyAlignment="1" applyProtection="1">
      <alignment horizontal="center" vertical="center"/>
      <protection locked="0"/>
    </xf>
    <xf numFmtId="2" fontId="37" fillId="32" borderId="91" xfId="4" applyNumberFormat="1" applyFill="1" applyBorder="1" applyAlignment="1" applyProtection="1">
      <alignment horizontal="center" vertical="center"/>
      <protection locked="0"/>
    </xf>
    <xf numFmtId="2" fontId="7" fillId="32" borderId="98" xfId="4" applyNumberFormat="1" applyFont="1" applyFill="1" applyBorder="1" applyAlignment="1" applyProtection="1">
      <alignment horizontal="center" vertical="center"/>
      <protection locked="0"/>
    </xf>
    <xf numFmtId="2" fontId="42" fillId="32" borderId="98" xfId="1" applyNumberFormat="1" applyFont="1" applyFill="1" applyBorder="1" applyAlignment="1" applyProtection="1">
      <alignment horizontal="center" vertical="center" wrapText="1"/>
      <protection locked="0" hidden="1"/>
    </xf>
    <xf numFmtId="2" fontId="7" fillId="32" borderId="92" xfId="4" applyNumberFormat="1" applyFont="1" applyFill="1" applyBorder="1" applyAlignment="1" applyProtection="1">
      <alignment horizontal="center" vertical="center"/>
      <protection locked="0"/>
    </xf>
    <xf numFmtId="2" fontId="42" fillId="32" borderId="92" xfId="1" applyNumberFormat="1" applyFont="1" applyFill="1" applyBorder="1" applyAlignment="1" applyProtection="1">
      <alignment horizontal="center" vertical="center" wrapText="1"/>
      <protection locked="0" hidden="1"/>
    </xf>
    <xf numFmtId="2" fontId="7" fillId="32" borderId="120" xfId="4" applyNumberFormat="1" applyFont="1" applyFill="1" applyBorder="1" applyAlignment="1" applyProtection="1">
      <alignment horizontal="center" vertical="center"/>
      <protection locked="0"/>
    </xf>
    <xf numFmtId="2" fontId="7" fillId="32" borderId="91" xfId="4" applyNumberFormat="1" applyFont="1" applyFill="1" applyBorder="1" applyAlignment="1" applyProtection="1">
      <alignment horizontal="center" vertical="center"/>
      <protection locked="0"/>
    </xf>
    <xf numFmtId="2" fontId="8" fillId="32" borderId="95" xfId="4" applyNumberFormat="1" applyFont="1" applyFill="1" applyBorder="1" applyAlignment="1" applyProtection="1">
      <alignment horizontal="center" vertical="center"/>
      <protection locked="0"/>
    </xf>
    <xf numFmtId="2" fontId="37" fillId="32" borderId="95" xfId="4" applyNumberFormat="1" applyFill="1" applyBorder="1" applyAlignment="1" applyProtection="1">
      <alignment horizontal="center" vertical="center"/>
      <protection locked="0"/>
    </xf>
    <xf numFmtId="1" fontId="37" fillId="32" borderId="97" xfId="4" applyNumberFormat="1" applyFill="1" applyBorder="1" applyAlignment="1" applyProtection="1">
      <alignment horizontal="center" vertical="center"/>
      <protection locked="0"/>
    </xf>
    <xf numFmtId="2" fontId="42" fillId="32" borderId="143" xfId="1" applyNumberFormat="1" applyFont="1" applyFill="1" applyBorder="1" applyAlignment="1" applyProtection="1">
      <alignment horizontal="center" vertical="center" wrapText="1"/>
      <protection locked="0" hidden="1"/>
    </xf>
    <xf numFmtId="2" fontId="42" fillId="32" borderId="144" xfId="1" applyNumberFormat="1" applyFont="1" applyFill="1" applyBorder="1" applyAlignment="1" applyProtection="1">
      <alignment horizontal="center" vertical="center" wrapText="1"/>
      <protection locked="0" hidden="1"/>
    </xf>
    <xf numFmtId="2" fontId="37" fillId="32" borderId="97" xfId="4" applyNumberFormat="1" applyFill="1" applyBorder="1" applyAlignment="1" applyProtection="1">
      <alignment horizontal="center" vertical="center"/>
      <protection locked="0"/>
    </xf>
    <xf numFmtId="2" fontId="37" fillId="32" borderId="143" xfId="4" applyNumberFormat="1" applyFill="1" applyBorder="1" applyAlignment="1" applyProtection="1">
      <alignment horizontal="center" vertical="center" wrapText="1"/>
      <protection locked="0"/>
    </xf>
    <xf numFmtId="2" fontId="37" fillId="32" borderId="144" xfId="4" applyNumberFormat="1" applyFill="1" applyBorder="1" applyAlignment="1" applyProtection="1">
      <alignment horizontal="center" vertical="center" wrapText="1"/>
      <protection locked="0"/>
    </xf>
    <xf numFmtId="2" fontId="3" fillId="32" borderId="95" xfId="4" applyNumberFormat="1" applyFont="1" applyFill="1" applyBorder="1" applyAlignment="1" applyProtection="1">
      <alignment horizontal="center" vertical="center"/>
      <protection locked="0"/>
    </xf>
    <xf numFmtId="1" fontId="3" fillId="32" borderId="97" xfId="4" applyNumberFormat="1" applyFont="1" applyFill="1" applyBorder="1" applyAlignment="1" applyProtection="1">
      <alignment horizontal="center" vertical="center"/>
      <protection locked="0"/>
    </xf>
    <xf numFmtId="1" fontId="37" fillId="32" borderId="143" xfId="4" applyNumberFormat="1" applyFill="1" applyBorder="1" applyAlignment="1" applyProtection="1">
      <alignment horizontal="center" vertical="center"/>
      <protection locked="0"/>
    </xf>
    <xf numFmtId="1" fontId="37" fillId="32" borderId="144" xfId="4" applyNumberFormat="1" applyFill="1" applyBorder="1" applyAlignment="1" applyProtection="1">
      <alignment horizontal="center" vertical="center"/>
      <protection locked="0"/>
    </xf>
    <xf numFmtId="1" fontId="42" fillId="32" borderId="143" xfId="1" applyNumberFormat="1" applyFont="1" applyFill="1" applyBorder="1" applyAlignment="1" applyProtection="1">
      <alignment horizontal="center" vertical="center" wrapText="1"/>
      <protection locked="0" hidden="1"/>
    </xf>
    <xf numFmtId="1" fontId="42" fillId="32" borderId="159" xfId="1" applyNumberFormat="1" applyFont="1" applyFill="1" applyBorder="1" applyAlignment="1" applyProtection="1">
      <alignment horizontal="center" vertical="center" wrapText="1"/>
      <protection locked="0" hidden="1"/>
    </xf>
    <xf numFmtId="1" fontId="42" fillId="32" borderId="0" xfId="1" applyNumberFormat="1" applyFont="1" applyFill="1" applyBorder="1" applyAlignment="1" applyProtection="1">
      <alignment horizontal="center" vertical="center" wrapText="1"/>
      <protection locked="0" hidden="1"/>
    </xf>
    <xf numFmtId="1" fontId="42" fillId="32" borderId="144" xfId="1" applyNumberFormat="1" applyFont="1" applyFill="1" applyBorder="1" applyAlignment="1" applyProtection="1">
      <alignment horizontal="center" vertical="center" wrapText="1"/>
      <protection locked="0" hidden="1"/>
    </xf>
    <xf numFmtId="1" fontId="37" fillId="32" borderId="0" xfId="4" applyNumberFormat="1" applyFill="1" applyBorder="1" applyAlignment="1" applyProtection="1">
      <alignment horizontal="center" vertical="center"/>
      <protection locked="0"/>
    </xf>
    <xf numFmtId="0" fontId="44" fillId="32" borderId="86" xfId="2" applyFont="1" applyFill="1" applyBorder="1" applyAlignment="1" applyProtection="1">
      <alignment vertical="center"/>
      <protection locked="0"/>
    </xf>
    <xf numFmtId="1" fontId="37" fillId="32" borderId="154" xfId="4" applyNumberFormat="1" applyFill="1" applyBorder="1" applyAlignment="1" applyProtection="1">
      <alignment horizontal="center" vertical="center"/>
      <protection locked="0"/>
    </xf>
    <xf numFmtId="1" fontId="37" fillId="32" borderId="155" xfId="4" applyNumberFormat="1" applyFill="1" applyBorder="1" applyAlignment="1" applyProtection="1">
      <alignment horizontal="center" vertical="center"/>
      <protection locked="0"/>
    </xf>
    <xf numFmtId="1" fontId="4" fillId="32" borderId="143" xfId="4" applyNumberFormat="1" applyFont="1" applyFill="1" applyBorder="1" applyAlignment="1" applyProtection="1">
      <alignment horizontal="center" vertical="center"/>
      <protection locked="0"/>
    </xf>
    <xf numFmtId="1" fontId="4" fillId="32" borderId="144" xfId="4" applyNumberFormat="1" applyFont="1" applyFill="1" applyBorder="1" applyAlignment="1" applyProtection="1">
      <alignment horizontal="center" vertical="center"/>
      <protection locked="0"/>
    </xf>
    <xf numFmtId="1" fontId="4" fillId="32" borderId="143" xfId="4" applyNumberFormat="1" applyFont="1" applyFill="1" applyBorder="1" applyAlignment="1" applyProtection="1">
      <alignment horizontal="center" vertical="center"/>
      <protection locked="0"/>
    </xf>
    <xf numFmtId="1" fontId="4" fillId="32" borderId="144" xfId="4" applyNumberFormat="1" applyFont="1" applyFill="1" applyBorder="1" applyAlignment="1" applyProtection="1">
      <alignment horizontal="center" vertical="center"/>
      <protection locked="0"/>
    </xf>
    <xf numFmtId="1" fontId="42" fillId="32" borderId="98" xfId="1" applyNumberFormat="1" applyFont="1" applyFill="1" applyBorder="1" applyAlignment="1" applyProtection="1">
      <alignment horizontal="center" vertical="center"/>
      <protection locked="0" hidden="1"/>
    </xf>
    <xf numFmtId="2" fontId="42" fillId="32" borderId="92" xfId="1" applyNumberFormat="1" applyFont="1" applyFill="1" applyBorder="1" applyAlignment="1" applyProtection="1">
      <alignment horizontal="center" vertical="center"/>
      <protection locked="0" hidden="1"/>
    </xf>
    <xf numFmtId="2" fontId="1" fillId="32" borderId="95" xfId="4" applyNumberFormat="1" applyFont="1" applyFill="1" applyBorder="1" applyAlignment="1" applyProtection="1">
      <alignment horizontal="center" vertical="center"/>
      <protection locked="0"/>
    </xf>
    <xf numFmtId="2" fontId="1" fillId="32" borderId="91" xfId="4" applyNumberFormat="1" applyFont="1" applyFill="1" applyBorder="1" applyAlignment="1" applyProtection="1">
      <alignment horizontal="center" vertical="center"/>
      <protection locked="0"/>
    </xf>
    <xf numFmtId="2" fontId="4" fillId="32" borderId="95" xfId="4" applyNumberFormat="1" applyFont="1" applyFill="1" applyBorder="1" applyAlignment="1" applyProtection="1">
      <alignment horizontal="center" vertical="center"/>
      <protection locked="0"/>
    </xf>
    <xf numFmtId="2" fontId="4" fillId="32" borderId="97" xfId="4" applyNumberFormat="1" applyFont="1" applyFill="1" applyBorder="1" applyAlignment="1" applyProtection="1">
      <alignment horizontal="center" vertical="center"/>
      <protection locked="0"/>
    </xf>
    <xf numFmtId="1" fontId="37" fillId="32" borderId="96" xfId="4" applyNumberFormat="1" applyFill="1" applyBorder="1" applyAlignment="1" applyProtection="1">
      <alignment horizontal="center" vertical="center"/>
      <protection locked="0"/>
    </xf>
    <xf numFmtId="2" fontId="4" fillId="32" borderId="0" xfId="4" applyNumberFormat="1" applyFont="1" applyFill="1" applyBorder="1" applyAlignment="1" applyProtection="1">
      <alignment horizontal="center" vertical="center"/>
      <protection locked="0"/>
    </xf>
    <xf numFmtId="2" fontId="37" fillId="32" borderId="0" xfId="4" applyNumberFormat="1" applyFill="1" applyBorder="1" applyAlignment="1" applyProtection="1">
      <alignment horizontal="center" vertical="center"/>
      <protection locked="0"/>
    </xf>
    <xf numFmtId="2" fontId="4" fillId="32" borderId="90" xfId="4" applyNumberFormat="1" applyFont="1" applyFill="1" applyBorder="1" applyAlignment="1" applyProtection="1">
      <alignment horizontal="center" vertical="center"/>
      <protection locked="0"/>
    </xf>
    <xf numFmtId="2" fontId="37" fillId="32" borderId="90" xfId="4" applyNumberFormat="1" applyFill="1" applyBorder="1" applyAlignment="1" applyProtection="1">
      <alignment horizontal="center" vertical="center"/>
      <protection locked="0"/>
    </xf>
    <xf numFmtId="2" fontId="37" fillId="32" borderId="90" xfId="4" applyNumberFormat="1" applyFill="1" applyBorder="1" applyAlignment="1" applyProtection="1">
      <alignment horizontal="center" vertical="center"/>
      <protection locked="0"/>
    </xf>
    <xf numFmtId="0" fontId="44" fillId="32" borderId="0" xfId="2" applyFont="1" applyFill="1" applyBorder="1" applyAlignment="1" applyProtection="1">
      <alignment horizontal="center" vertical="center"/>
      <protection locked="0"/>
    </xf>
    <xf numFmtId="0" fontId="75" fillId="32" borderId="0" xfId="2" applyFont="1" applyFill="1" applyBorder="1" applyAlignment="1" applyProtection="1">
      <alignment horizontal="right" vertical="center"/>
      <protection locked="0"/>
    </xf>
    <xf numFmtId="22" fontId="19" fillId="7" borderId="62" xfId="0" applyNumberFormat="1" applyFont="1" applyFill="1" applyBorder="1" applyAlignment="1" applyProtection="1">
      <alignment horizontal="center"/>
    </xf>
    <xf numFmtId="0" fontId="0" fillId="25" borderId="0" xfId="0" applyFill="1" applyProtection="1"/>
    <xf numFmtId="0" fontId="0" fillId="25" borderId="160" xfId="0" applyFill="1" applyBorder="1" applyAlignment="1" applyProtection="1"/>
    <xf numFmtId="0" fontId="0" fillId="25" borderId="161" xfId="0" applyFill="1" applyBorder="1" applyAlignment="1" applyProtection="1"/>
    <xf numFmtId="0" fontId="0" fillId="25" borderId="162" xfId="0" applyFill="1" applyBorder="1" applyAlignment="1" applyProtection="1"/>
    <xf numFmtId="0" fontId="0" fillId="25" borderId="163" xfId="0" applyFill="1" applyBorder="1" applyAlignment="1" applyProtection="1"/>
    <xf numFmtId="0" fontId="19" fillId="7" borderId="62" xfId="0" applyFont="1" applyFill="1" applyBorder="1" applyAlignment="1" applyProtection="1">
      <alignment horizontal="center" vertical="center"/>
    </xf>
    <xf numFmtId="22" fontId="19" fillId="7" borderId="0" xfId="0" applyNumberFormat="1" applyFont="1" applyFill="1" applyBorder="1" applyAlignment="1" applyProtection="1">
      <alignment horizontal="center"/>
    </xf>
    <xf numFmtId="22" fontId="19" fillId="25" borderId="0" xfId="0" applyNumberFormat="1" applyFont="1" applyFill="1" applyBorder="1" applyAlignment="1" applyProtection="1"/>
    <xf numFmtId="22" fontId="19" fillId="25" borderId="164" xfId="0" applyNumberFormat="1" applyFont="1" applyFill="1" applyBorder="1" applyAlignment="1" applyProtection="1"/>
    <xf numFmtId="0" fontId="14" fillId="25" borderId="0" xfId="0" applyFont="1" applyFill="1" applyBorder="1" applyAlignment="1" applyProtection="1">
      <alignment horizontal="left"/>
    </xf>
    <xf numFmtId="0" fontId="19" fillId="7" borderId="62" xfId="0" applyFont="1" applyFill="1" applyBorder="1" applyAlignment="1" applyProtection="1">
      <alignment horizontal="center"/>
    </xf>
    <xf numFmtId="0" fontId="13" fillId="25" borderId="0" xfId="0" applyFont="1" applyFill="1" applyBorder="1" applyProtection="1"/>
    <xf numFmtId="0" fontId="64" fillId="25" borderId="0" xfId="0" applyFont="1" applyFill="1" applyBorder="1" applyProtection="1"/>
    <xf numFmtId="0" fontId="61" fillId="25" borderId="83" xfId="6" applyFont="1" applyFill="1" applyBorder="1" applyAlignment="1" applyProtection="1">
      <alignment vertical="center" wrapText="1"/>
    </xf>
    <xf numFmtId="0" fontId="63" fillId="36" borderId="76" xfId="0" applyFont="1" applyFill="1" applyBorder="1" applyAlignment="1" applyProtection="1">
      <alignment horizontal="center" vertical="center"/>
    </xf>
    <xf numFmtId="0" fontId="63" fillId="36" borderId="77" xfId="0" applyFont="1" applyFill="1" applyBorder="1" applyAlignment="1" applyProtection="1">
      <alignment horizontal="center" vertical="center"/>
    </xf>
    <xf numFmtId="0" fontId="63" fillId="36" borderId="78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43" fillId="23" borderId="81" xfId="0" applyFont="1" applyFill="1" applyBorder="1" applyAlignment="1" applyProtection="1">
      <alignment horizontal="center" vertical="center"/>
    </xf>
    <xf numFmtId="0" fontId="0" fillId="25" borderId="88" xfId="0" applyFill="1" applyBorder="1" applyProtection="1"/>
    <xf numFmtId="164" fontId="0" fillId="0" borderId="0" xfId="0" applyNumberFormat="1" applyBorder="1" applyProtection="1"/>
    <xf numFmtId="0" fontId="43" fillId="23" borderId="81" xfId="0" applyFont="1" applyFill="1" applyBorder="1" applyAlignment="1" applyProtection="1">
      <alignment horizontal="center" vertical="center" wrapText="1"/>
    </xf>
    <xf numFmtId="0" fontId="43" fillId="23" borderId="92" xfId="0" applyFont="1" applyFill="1" applyBorder="1" applyAlignment="1" applyProtection="1">
      <alignment horizontal="center" vertical="center" wrapText="1"/>
    </xf>
    <xf numFmtId="0" fontId="43" fillId="23" borderId="92" xfId="0" applyFont="1" applyFill="1" applyBorder="1" applyAlignment="1" applyProtection="1">
      <alignment horizontal="center" vertical="center"/>
    </xf>
    <xf numFmtId="0" fontId="58" fillId="17" borderId="71" xfId="1" applyFont="1" applyBorder="1" applyAlignment="1" applyProtection="1">
      <alignment horizontal="center" vertical="center" wrapText="1"/>
    </xf>
    <xf numFmtId="0" fontId="57" fillId="36" borderId="70" xfId="0" applyFont="1" applyFill="1" applyBorder="1" applyAlignment="1" applyProtection="1">
      <alignment horizontal="center" vertical="center" wrapText="1"/>
    </xf>
    <xf numFmtId="0" fontId="58" fillId="17" borderId="72" xfId="1" applyFont="1" applyBorder="1" applyAlignment="1" applyProtection="1">
      <alignment horizontal="center" vertical="center" wrapText="1"/>
    </xf>
    <xf numFmtId="0" fontId="58" fillId="17" borderId="73" xfId="1" applyFont="1" applyBorder="1" applyAlignment="1" applyProtection="1">
      <alignment horizontal="center" vertical="center" wrapText="1"/>
    </xf>
    <xf numFmtId="0" fontId="58" fillId="17" borderId="89" xfId="1" applyFont="1" applyBorder="1" applyAlignment="1" applyProtection="1">
      <alignment horizontal="center" vertical="center" wrapText="1"/>
    </xf>
    <xf numFmtId="0" fontId="0" fillId="0" borderId="81" xfId="0" applyBorder="1" applyProtection="1"/>
    <xf numFmtId="0" fontId="61" fillId="25" borderId="0" xfId="6" applyFont="1" applyFill="1" applyBorder="1" applyAlignment="1" applyProtection="1">
      <alignment horizontal="center" vertical="center"/>
    </xf>
    <xf numFmtId="0" fontId="59" fillId="23" borderId="74" xfId="0" applyFont="1" applyFill="1" applyBorder="1" applyAlignment="1" applyProtection="1">
      <alignment horizontal="center" vertical="center" wrapText="1"/>
    </xf>
    <xf numFmtId="0" fontId="59" fillId="23" borderId="75" xfId="5" applyFont="1" applyFill="1" applyBorder="1" applyAlignment="1" applyProtection="1">
      <alignment horizontal="center" vertical="center" wrapText="1"/>
    </xf>
    <xf numFmtId="0" fontId="58" fillId="17" borderId="93" xfId="1" applyFont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wrapText="1"/>
    </xf>
    <xf numFmtId="0" fontId="58" fillId="17" borderId="94" xfId="1" applyFont="1" applyBorder="1" applyAlignment="1" applyProtection="1">
      <alignment horizontal="center" vertical="center" wrapText="1"/>
    </xf>
    <xf numFmtId="0" fontId="0" fillId="25" borderId="165" xfId="0" applyFill="1" applyBorder="1" applyProtection="1"/>
    <xf numFmtId="0" fontId="0" fillId="25" borderId="166" xfId="0" applyFill="1" applyBorder="1" applyProtection="1"/>
    <xf numFmtId="0" fontId="0" fillId="25" borderId="167" xfId="0" applyFill="1" applyBorder="1" applyProtection="1"/>
    <xf numFmtId="0" fontId="0" fillId="25" borderId="0" xfId="0" applyFill="1" applyAlignment="1" applyProtection="1"/>
    <xf numFmtId="0" fontId="0" fillId="0" borderId="0" xfId="0" applyFill="1" applyProtection="1"/>
    <xf numFmtId="0" fontId="0" fillId="0" borderId="0" xfId="0" applyProtection="1"/>
    <xf numFmtId="0" fontId="63" fillId="36" borderId="0" xfId="0" applyFont="1" applyFill="1" applyBorder="1" applyAlignment="1" applyProtection="1">
      <alignment horizontal="center" vertical="center"/>
    </xf>
    <xf numFmtId="0" fontId="17" fillId="25" borderId="0" xfId="0" applyFont="1" applyFill="1" applyBorder="1" applyAlignment="1" applyProtection="1"/>
    <xf numFmtId="0" fontId="60" fillId="22" borderId="0" xfId="6" applyFont="1" applyBorder="1" applyAlignment="1" applyProtection="1">
      <alignment horizontal="center" vertical="center" wrapText="1"/>
    </xf>
    <xf numFmtId="0" fontId="43" fillId="23" borderId="68" xfId="0" applyFont="1" applyFill="1" applyBorder="1" applyAlignment="1" applyProtection="1">
      <alignment horizontal="center" vertical="center"/>
    </xf>
    <xf numFmtId="0" fontId="0" fillId="25" borderId="67" xfId="0" applyFill="1" applyBorder="1" applyAlignment="1" applyProtection="1">
      <alignment horizontal="left" vertical="center"/>
    </xf>
    <xf numFmtId="0" fontId="55" fillId="24" borderId="0" xfId="0" applyFont="1" applyFill="1" applyBorder="1" applyProtection="1"/>
    <xf numFmtId="0" fontId="0" fillId="24" borderId="0" xfId="0" applyFill="1" applyBorder="1" applyAlignment="1" applyProtection="1">
      <alignment horizontal="left" vertical="center"/>
    </xf>
    <xf numFmtId="0" fontId="60" fillId="25" borderId="0" xfId="6" applyFont="1" applyFill="1" applyBorder="1" applyAlignment="1" applyProtection="1">
      <alignment vertical="center"/>
    </xf>
    <xf numFmtId="0" fontId="43" fillId="23" borderId="0" xfId="0" applyFont="1" applyFill="1" applyBorder="1" applyAlignment="1" applyProtection="1">
      <alignment horizontal="center" vertical="center"/>
    </xf>
    <xf numFmtId="0" fontId="0" fillId="25" borderId="0" xfId="0" applyFill="1" applyBorder="1" applyAlignment="1" applyProtection="1">
      <alignment horizontal="left" vertical="center"/>
    </xf>
    <xf numFmtId="0" fontId="56" fillId="24" borderId="0" xfId="0" applyFont="1" applyFill="1" applyBorder="1" applyProtection="1"/>
    <xf numFmtId="0" fontId="43" fillId="23" borderId="0" xfId="0" applyFont="1" applyFill="1" applyBorder="1" applyAlignment="1" applyProtection="1">
      <alignment horizontal="center" vertical="center" wrapText="1"/>
    </xf>
    <xf numFmtId="0" fontId="18" fillId="25" borderId="0" xfId="0" applyFont="1" applyFill="1" applyBorder="1" applyAlignment="1" applyProtection="1">
      <alignment horizontal="left" vertical="center"/>
    </xf>
    <xf numFmtId="0" fontId="55" fillId="25" borderId="0" xfId="0" applyFont="1" applyFill="1" applyBorder="1" applyAlignment="1" applyProtection="1">
      <alignment horizontal="left" vertical="center"/>
    </xf>
    <xf numFmtId="0" fontId="60" fillId="25" borderId="0" xfId="6" applyFont="1" applyFill="1" applyBorder="1" applyAlignment="1" applyProtection="1">
      <alignment horizontal="center" vertical="center"/>
    </xf>
    <xf numFmtId="0" fontId="58" fillId="17" borderId="87" xfId="1" applyFont="1" applyBorder="1" applyAlignment="1" applyProtection="1">
      <alignment horizontal="center" vertical="center" wrapText="1"/>
    </xf>
    <xf numFmtId="0" fontId="0" fillId="25" borderId="163" xfId="0" applyFill="1" applyBorder="1" applyAlignment="1" applyProtection="1">
      <alignment horizontal="left" vertical="center"/>
    </xf>
    <xf numFmtId="0" fontId="0" fillId="25" borderId="164" xfId="0" applyFill="1" applyBorder="1" applyAlignment="1" applyProtection="1">
      <alignment horizontal="left" vertical="center"/>
    </xf>
    <xf numFmtId="0" fontId="0" fillId="25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5" borderId="88" xfId="0" applyFill="1" applyBorder="1" applyAlignment="1" applyProtection="1">
      <alignment horizontal="left" vertical="center"/>
    </xf>
    <xf numFmtId="10" fontId="42" fillId="17" borderId="0" xfId="1" applyNumberFormat="1" applyFont="1" applyBorder="1" applyAlignment="1" applyProtection="1">
      <alignment horizontal="center" vertical="center"/>
    </xf>
    <xf numFmtId="0" fontId="70" fillId="25" borderId="0" xfId="0" applyFont="1" applyFill="1" applyProtection="1"/>
    <xf numFmtId="169" fontId="70" fillId="25" borderId="0" xfId="0" applyNumberFormat="1" applyFont="1" applyFill="1" applyProtection="1"/>
    <xf numFmtId="2" fontId="70" fillId="25" borderId="0" xfId="0" applyNumberFormat="1" applyFont="1" applyFill="1" applyProtection="1"/>
    <xf numFmtId="2" fontId="4" fillId="32" borderId="79" xfId="4" applyNumberFormat="1" applyFont="1" applyFill="1" applyBorder="1" applyAlignment="1" applyProtection="1">
      <alignment horizontal="center" vertical="center"/>
      <protection locked="0"/>
    </xf>
    <xf numFmtId="2" fontId="37" fillId="32" borderId="80" xfId="4" applyNumberFormat="1" applyFill="1" applyBorder="1" applyAlignment="1" applyProtection="1">
      <alignment horizontal="center" vertical="center"/>
      <protection locked="0"/>
    </xf>
    <xf numFmtId="2" fontId="4" fillId="32" borderId="79" xfId="4" applyNumberFormat="1" applyFont="1" applyFill="1" applyBorder="1" applyAlignment="1" applyProtection="1">
      <alignment horizontal="center" vertical="center" wrapText="1"/>
      <protection locked="0"/>
    </xf>
    <xf numFmtId="2" fontId="37" fillId="32" borderId="80" xfId="4" applyNumberFormat="1" applyFill="1" applyBorder="1" applyAlignment="1" applyProtection="1">
      <alignment horizontal="center" vertical="center" wrapText="1"/>
      <protection locked="0"/>
    </xf>
    <xf numFmtId="1" fontId="37" fillId="32" borderId="79" xfId="4" applyNumberFormat="1" applyFill="1" applyBorder="1" applyAlignment="1" applyProtection="1">
      <alignment horizontal="center" vertical="center"/>
      <protection locked="0"/>
    </xf>
    <xf numFmtId="1" fontId="37" fillId="32" borderId="80" xfId="4" applyNumberFormat="1" applyFill="1" applyBorder="1" applyAlignment="1" applyProtection="1">
      <alignment horizontal="center" vertical="center"/>
      <protection locked="0"/>
    </xf>
    <xf numFmtId="2" fontId="37" fillId="32" borderId="79" xfId="4" applyNumberFormat="1" applyFill="1" applyBorder="1" applyAlignment="1" applyProtection="1">
      <alignment horizontal="center" vertical="center"/>
      <protection locked="0"/>
    </xf>
    <xf numFmtId="0" fontId="0" fillId="25" borderId="168" xfId="0" applyFill="1" applyBorder="1" applyAlignment="1" applyProtection="1"/>
    <xf numFmtId="0" fontId="0" fillId="25" borderId="169" xfId="0" applyFill="1" applyBorder="1" applyAlignment="1" applyProtection="1"/>
    <xf numFmtId="0" fontId="0" fillId="25" borderId="170" xfId="0" applyFill="1" applyBorder="1" applyProtection="1"/>
    <xf numFmtId="0" fontId="0" fillId="25" borderId="171" xfId="0" applyFill="1" applyBorder="1" applyAlignment="1" applyProtection="1"/>
    <xf numFmtId="0" fontId="0" fillId="25" borderId="172" xfId="0" applyFill="1" applyBorder="1" applyProtection="1"/>
    <xf numFmtId="0" fontId="31" fillId="7" borderId="62" xfId="0" applyFont="1" applyFill="1" applyBorder="1" applyAlignment="1" applyProtection="1">
      <alignment horizontal="center" vertical="center"/>
    </xf>
    <xf numFmtId="22" fontId="31" fillId="7" borderId="62" xfId="0" applyNumberFormat="1" applyFont="1" applyFill="1" applyBorder="1" applyAlignment="1" applyProtection="1">
      <alignment horizontal="center"/>
    </xf>
    <xf numFmtId="22" fontId="31" fillId="25" borderId="0" xfId="0" applyNumberFormat="1" applyFont="1" applyFill="1" applyBorder="1" applyAlignment="1" applyProtection="1"/>
    <xf numFmtId="0" fontId="31" fillId="7" borderId="62" xfId="0" applyFont="1" applyFill="1" applyBorder="1" applyAlignment="1" applyProtection="1">
      <alignment horizontal="center"/>
    </xf>
    <xf numFmtId="14" fontId="19" fillId="25" borderId="0" xfId="0" applyNumberFormat="1" applyFont="1" applyFill="1" applyBorder="1" applyAlignment="1" applyProtection="1"/>
    <xf numFmtId="0" fontId="35" fillId="25" borderId="0" xfId="0" applyFont="1" applyFill="1" applyBorder="1" applyAlignment="1" applyProtection="1">
      <alignment horizontal="center" vertical="center"/>
    </xf>
    <xf numFmtId="0" fontId="61" fillId="25" borderId="0" xfId="6" applyFont="1" applyFill="1" applyBorder="1" applyAlignment="1" applyProtection="1">
      <alignment horizontal="center" vertical="center" wrapText="1"/>
    </xf>
    <xf numFmtId="0" fontId="9" fillId="25" borderId="0" xfId="0" applyFont="1" applyFill="1" applyBorder="1" applyAlignment="1" applyProtection="1"/>
    <xf numFmtId="0" fontId="52" fillId="25" borderId="0" xfId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25" borderId="0" xfId="0" applyFont="1" applyFill="1" applyBorder="1" applyAlignment="1" applyProtection="1">
      <alignment horizontal="center" vertical="center"/>
    </xf>
    <xf numFmtId="0" fontId="45" fillId="23" borderId="0" xfId="0" applyFont="1" applyFill="1" applyBorder="1" applyAlignment="1" applyProtection="1">
      <alignment horizontal="right" vertical="center"/>
    </xf>
    <xf numFmtId="0" fontId="44" fillId="25" borderId="0" xfId="1" applyFont="1" applyFill="1" applyBorder="1" applyAlignment="1" applyProtection="1">
      <alignment horizontal="right" vertical="center"/>
    </xf>
    <xf numFmtId="0" fontId="45" fillId="25" borderId="0" xfId="0" applyFont="1" applyFill="1" applyBorder="1" applyAlignment="1" applyProtection="1">
      <alignment horizontal="right" vertical="center"/>
    </xf>
    <xf numFmtId="0" fontId="41" fillId="25" borderId="0" xfId="1" applyFont="1" applyFill="1" applyBorder="1" applyAlignment="1" applyProtection="1">
      <alignment horizontal="right"/>
    </xf>
    <xf numFmtId="0" fontId="42" fillId="35" borderId="3" xfId="1" applyFont="1" applyFill="1" applyBorder="1" applyAlignment="1" applyProtection="1">
      <alignment horizontal="center" vertical="center" wrapText="1"/>
    </xf>
    <xf numFmtId="0" fontId="42" fillId="35" borderId="65" xfId="1" applyFont="1" applyFill="1" applyBorder="1" applyAlignment="1" applyProtection="1">
      <alignment horizontal="center" vertical="center" wrapText="1"/>
    </xf>
    <xf numFmtId="0" fontId="42" fillId="35" borderId="4" xfId="1" applyFont="1" applyFill="1" applyBorder="1" applyAlignment="1" applyProtection="1">
      <alignment horizontal="center" vertical="center" wrapText="1"/>
    </xf>
    <xf numFmtId="0" fontId="76" fillId="35" borderId="0" xfId="1" applyFont="1" applyFill="1" applyBorder="1" applyAlignment="1" applyProtection="1">
      <alignment horizontal="center" vertical="center" wrapText="1"/>
    </xf>
    <xf numFmtId="165" fontId="76" fillId="35" borderId="0" xfId="1" applyNumberFormat="1" applyFont="1" applyFill="1" applyBorder="1" applyAlignment="1" applyProtection="1">
      <alignment horizontal="center" vertical="center" wrapText="1"/>
    </xf>
    <xf numFmtId="165" fontId="42" fillId="25" borderId="0" xfId="1" applyNumberFormat="1" applyFont="1" applyFill="1" applyBorder="1" applyAlignment="1" applyProtection="1">
      <alignment horizontal="center" vertical="center" wrapText="1"/>
    </xf>
    <xf numFmtId="0" fontId="76" fillId="35" borderId="0" xfId="1" applyFont="1" applyFill="1" applyBorder="1" applyAlignment="1" applyProtection="1">
      <alignment horizontal="center" vertical="center" wrapText="1"/>
    </xf>
    <xf numFmtId="0" fontId="73" fillId="25" borderId="172" xfId="0" applyFont="1" applyFill="1" applyBorder="1" applyProtection="1"/>
    <xf numFmtId="0" fontId="43" fillId="23" borderId="0" xfId="1" applyFont="1" applyFill="1" applyBorder="1" applyAlignment="1" applyProtection="1">
      <alignment horizontal="center" vertical="center"/>
    </xf>
    <xf numFmtId="2" fontId="0" fillId="25" borderId="0" xfId="0" applyNumberFormat="1" applyFill="1" applyBorder="1" applyProtection="1"/>
    <xf numFmtId="0" fontId="76" fillId="37" borderId="0" xfId="5" applyFont="1" applyFill="1" applyBorder="1" applyAlignment="1" applyProtection="1">
      <alignment horizontal="center" vertical="center" wrapText="1"/>
    </xf>
    <xf numFmtId="0" fontId="76" fillId="37" borderId="0" xfId="5" applyFont="1" applyFill="1" applyBorder="1" applyAlignment="1" applyProtection="1">
      <alignment horizontal="center" vertical="top" wrapText="1"/>
    </xf>
    <xf numFmtId="0" fontId="42" fillId="31" borderId="0" xfId="5" applyFont="1" applyFill="1" applyBorder="1" applyAlignment="1" applyProtection="1">
      <alignment horizontal="center" vertical="top" wrapText="1"/>
    </xf>
    <xf numFmtId="0" fontId="48" fillId="37" borderId="0" xfId="5" applyFont="1" applyFill="1" applyBorder="1" applyAlignment="1" applyProtection="1">
      <alignment horizontal="center" vertical="center" wrapText="1"/>
    </xf>
    <xf numFmtId="0" fontId="47" fillId="35" borderId="0" xfId="1" applyFont="1" applyFill="1" applyBorder="1" applyAlignment="1" applyProtection="1">
      <alignment horizontal="center" vertical="center" wrapText="1"/>
    </xf>
    <xf numFmtId="0" fontId="47" fillId="35" borderId="0" xfId="1" applyFont="1" applyFill="1" applyBorder="1" applyAlignment="1" applyProtection="1">
      <alignment horizontal="center" vertical="center" wrapText="1"/>
    </xf>
    <xf numFmtId="0" fontId="47" fillId="25" borderId="0" xfId="1" applyFont="1" applyFill="1" applyBorder="1" applyAlignment="1" applyProtection="1">
      <alignment horizontal="center" vertical="center" wrapText="1"/>
    </xf>
    <xf numFmtId="0" fontId="43" fillId="35" borderId="0" xfId="1" applyFont="1" applyFill="1" applyBorder="1" applyAlignment="1" applyProtection="1">
      <alignment horizontal="center" vertical="center" wrapText="1"/>
    </xf>
    <xf numFmtId="0" fontId="43" fillId="35" borderId="0" xfId="1" applyFont="1" applyFill="1" applyBorder="1" applyAlignment="1" applyProtection="1">
      <alignment horizontal="center" vertical="center" wrapText="1"/>
    </xf>
    <xf numFmtId="0" fontId="47" fillId="37" borderId="0" xfId="5" applyFont="1" applyFill="1" applyBorder="1" applyAlignment="1" applyProtection="1">
      <alignment horizontal="center" vertical="center" wrapText="1"/>
    </xf>
    <xf numFmtId="0" fontId="47" fillId="31" borderId="0" xfId="5" applyFont="1" applyFill="1" applyBorder="1" applyAlignment="1" applyProtection="1">
      <alignment horizontal="center" vertical="center" wrapText="1"/>
    </xf>
    <xf numFmtId="0" fontId="43" fillId="37" borderId="0" xfId="5" applyFont="1" applyFill="1" applyBorder="1" applyAlignment="1" applyProtection="1">
      <alignment horizontal="center" vertical="center" wrapText="1"/>
    </xf>
    <xf numFmtId="0" fontId="39" fillId="25" borderId="0" xfId="1" applyFont="1" applyFill="1" applyBorder="1" applyAlignment="1" applyProtection="1">
      <alignment vertical="center" wrapText="1"/>
    </xf>
    <xf numFmtId="0" fontId="81" fillId="25" borderId="0" xfId="0" applyFont="1" applyFill="1" applyBorder="1" applyAlignment="1" applyProtection="1"/>
    <xf numFmtId="0" fontId="81" fillId="25" borderId="0" xfId="0" applyFont="1" applyFill="1" applyBorder="1" applyAlignment="1" applyProtection="1">
      <alignment horizontal="center" textRotation="255"/>
    </xf>
    <xf numFmtId="0" fontId="81" fillId="25" borderId="0" xfId="0" applyFont="1" applyFill="1" applyBorder="1" applyAlignment="1" applyProtection="1">
      <alignment horizontal="center" wrapText="1"/>
    </xf>
    <xf numFmtId="0" fontId="83" fillId="25" borderId="0" xfId="0" applyFont="1" applyFill="1" applyBorder="1" applyAlignment="1" applyProtection="1">
      <alignment horizontal="center" wrapText="1"/>
    </xf>
    <xf numFmtId="2" fontId="83" fillId="25" borderId="0" xfId="0" applyNumberFormat="1" applyFont="1" applyFill="1" applyBorder="1" applyAlignment="1" applyProtection="1">
      <alignment horizontal="center"/>
    </xf>
    <xf numFmtId="164" fontId="70" fillId="25" borderId="0" xfId="0" applyNumberFormat="1" applyFont="1" applyFill="1" applyBorder="1" applyProtection="1"/>
    <xf numFmtId="0" fontId="43" fillId="23" borderId="76" xfId="5" applyFont="1" applyFill="1" applyBorder="1" applyAlignment="1" applyProtection="1">
      <alignment horizontal="center" vertical="center"/>
    </xf>
    <xf numFmtId="0" fontId="43" fillId="23" borderId="77" xfId="5" applyFont="1" applyFill="1" applyBorder="1" applyAlignment="1" applyProtection="1">
      <alignment horizontal="center" vertical="center"/>
    </xf>
    <xf numFmtId="0" fontId="43" fillId="23" borderId="78" xfId="5" applyFont="1" applyFill="1" applyBorder="1" applyAlignment="1" applyProtection="1">
      <alignment horizontal="center" vertical="center"/>
    </xf>
    <xf numFmtId="0" fontId="0" fillId="25" borderId="173" xfId="0" applyFill="1" applyBorder="1" applyProtection="1"/>
    <xf numFmtId="0" fontId="0" fillId="25" borderId="174" xfId="0" applyFill="1" applyBorder="1" applyProtection="1"/>
    <xf numFmtId="0" fontId="0" fillId="25" borderId="175" xfId="0" applyFill="1" applyBorder="1" applyProtection="1"/>
    <xf numFmtId="0" fontId="83" fillId="25" borderId="0" xfId="0" applyFont="1" applyFill="1" applyBorder="1" applyAlignment="1" applyProtection="1">
      <alignment horizontal="center"/>
    </xf>
    <xf numFmtId="2" fontId="37" fillId="32" borderId="30" xfId="4" applyNumberFormat="1" applyFill="1" applyBorder="1" applyAlignment="1" applyProtection="1">
      <alignment horizontal="center" vertical="center"/>
      <protection locked="0"/>
    </xf>
    <xf numFmtId="2" fontId="37" fillId="32" borderId="33" xfId="4" applyNumberFormat="1" applyFill="1" applyBorder="1" applyAlignment="1" applyProtection="1">
      <alignment horizontal="center" vertical="center"/>
      <protection locked="0"/>
    </xf>
    <xf numFmtId="2" fontId="37" fillId="32" borderId="69" xfId="4" applyNumberFormat="1" applyFill="1" applyBorder="1" applyAlignment="1" applyProtection="1">
      <alignment horizontal="center" vertical="center"/>
      <protection locked="0"/>
    </xf>
    <xf numFmtId="0" fontId="31" fillId="32" borderId="62" xfId="0" applyFont="1" applyFill="1" applyBorder="1" applyAlignment="1" applyProtection="1">
      <alignment horizontal="center" vertical="center"/>
    </xf>
    <xf numFmtId="0" fontId="32" fillId="32" borderId="62" xfId="0" applyFont="1" applyFill="1" applyBorder="1" applyAlignment="1" applyProtection="1">
      <alignment horizontal="center" vertical="center"/>
    </xf>
    <xf numFmtId="0" fontId="31" fillId="32" borderId="62" xfId="0" applyFont="1" applyFill="1" applyBorder="1" applyAlignment="1" applyProtection="1">
      <alignment horizontal="center"/>
    </xf>
    <xf numFmtId="0" fontId="19" fillId="25" borderId="164" xfId="0" applyFont="1" applyFill="1" applyBorder="1" applyAlignment="1" applyProtection="1"/>
    <xf numFmtId="0" fontId="32" fillId="32" borderId="62" xfId="0" applyFont="1" applyFill="1" applyBorder="1" applyAlignment="1" applyProtection="1">
      <alignment horizontal="center"/>
    </xf>
    <xf numFmtId="0" fontId="57" fillId="34" borderId="58" xfId="0" applyFont="1" applyFill="1" applyBorder="1" applyAlignment="1" applyProtection="1">
      <alignment horizontal="center" vertical="center"/>
    </xf>
    <xf numFmtId="0" fontId="57" fillId="34" borderId="50" xfId="0" applyFont="1" applyFill="1" applyBorder="1" applyAlignment="1" applyProtection="1">
      <alignment horizontal="center" vertical="center"/>
    </xf>
    <xf numFmtId="0" fontId="53" fillId="24" borderId="50" xfId="3" applyFont="1" applyFill="1" applyBorder="1" applyAlignment="1" applyProtection="1">
      <alignment horizontal="center" vertical="center" wrapText="1"/>
    </xf>
    <xf numFmtId="0" fontId="57" fillId="34" borderId="50" xfId="0" applyFont="1" applyFill="1" applyBorder="1" applyAlignment="1" applyProtection="1">
      <alignment horizontal="center" vertical="center" wrapText="1"/>
    </xf>
    <xf numFmtId="0" fontId="53" fillId="24" borderId="51" xfId="3" applyFont="1" applyFill="1" applyBorder="1" applyAlignment="1" applyProtection="1">
      <alignment horizontal="center" vertical="center" wrapText="1"/>
    </xf>
    <xf numFmtId="0" fontId="44" fillId="23" borderId="59" xfId="1" applyFont="1" applyFill="1" applyBorder="1" applyAlignment="1" applyProtection="1">
      <alignment horizontal="center" vertical="center"/>
    </xf>
    <xf numFmtId="0" fontId="44" fillId="23" borderId="60" xfId="1" applyFont="1" applyFill="1" applyBorder="1" applyAlignment="1" applyProtection="1">
      <alignment horizontal="center" vertical="center"/>
    </xf>
    <xf numFmtId="0" fontId="44" fillId="23" borderId="61" xfId="1" applyFont="1" applyFill="1" applyBorder="1" applyAlignment="1" applyProtection="1">
      <alignment horizontal="center" vertical="center"/>
    </xf>
    <xf numFmtId="0" fontId="43" fillId="23" borderId="19" xfId="5" applyFont="1" applyFill="1" applyBorder="1" applyAlignment="1" applyProtection="1">
      <alignment horizontal="center" wrapText="1"/>
    </xf>
    <xf numFmtId="0" fontId="0" fillId="25" borderId="2" xfId="0" applyFill="1" applyBorder="1" applyProtection="1"/>
    <xf numFmtId="0" fontId="0" fillId="25" borderId="17" xfId="0" applyFill="1" applyBorder="1" applyProtection="1"/>
    <xf numFmtId="0" fontId="43" fillId="23" borderId="153" xfId="5" applyFont="1" applyFill="1" applyBorder="1" applyAlignment="1" applyProtection="1">
      <alignment horizontal="center" wrapText="1"/>
    </xf>
    <xf numFmtId="0" fontId="0" fillId="25" borderId="20" xfId="0" applyFill="1" applyBorder="1" applyProtection="1"/>
    <xf numFmtId="0" fontId="75" fillId="24" borderId="58" xfId="3" applyFont="1" applyFill="1" applyBorder="1" applyAlignment="1" applyProtection="1">
      <alignment horizontal="center" vertical="center" wrapText="1"/>
    </xf>
    <xf numFmtId="0" fontId="75" fillId="24" borderId="50" xfId="3" applyFont="1" applyFill="1" applyBorder="1" applyAlignment="1" applyProtection="1">
      <alignment horizontal="center" vertical="center" wrapText="1"/>
    </xf>
    <xf numFmtId="0" fontId="54" fillId="34" borderId="50" xfId="0" applyFont="1" applyFill="1" applyBorder="1" applyAlignment="1" applyProtection="1">
      <alignment horizontal="center" vertical="center" wrapText="1"/>
    </xf>
    <xf numFmtId="0" fontId="39" fillId="34" borderId="0" xfId="5" applyFont="1" applyFill="1" applyBorder="1" applyAlignment="1" applyProtection="1">
      <alignment horizontal="center" wrapText="1"/>
    </xf>
    <xf numFmtId="0" fontId="0" fillId="25" borderId="18" xfId="0" applyFill="1" applyBorder="1" applyProtection="1"/>
    <xf numFmtId="0" fontId="37" fillId="23" borderId="20" xfId="4" applyFill="1" applyBorder="1" applyAlignment="1" applyProtection="1">
      <alignment horizontal="center"/>
    </xf>
    <xf numFmtId="0" fontId="37" fillId="23" borderId="49" xfId="4" applyFill="1" applyBorder="1" applyAlignment="1" applyProtection="1">
      <alignment horizontal="center"/>
    </xf>
    <xf numFmtId="0" fontId="37" fillId="25" borderId="0" xfId="4" applyFill="1" applyBorder="1" applyAlignment="1" applyProtection="1">
      <alignment wrapText="1"/>
    </xf>
    <xf numFmtId="1" fontId="37" fillId="25" borderId="0" xfId="4" applyNumberFormat="1" applyFill="1" applyBorder="1" applyAlignment="1" applyProtection="1">
      <alignment horizontal="center"/>
    </xf>
    <xf numFmtId="2" fontId="37" fillId="25" borderId="0" xfId="4" applyNumberFormat="1" applyFill="1" applyBorder="1" applyAlignment="1" applyProtection="1">
      <alignment horizontal="center"/>
    </xf>
    <xf numFmtId="165" fontId="37" fillId="25" borderId="0" xfId="4" applyNumberFormat="1" applyFill="1" applyBorder="1" applyAlignment="1" applyProtection="1">
      <alignment horizontal="center"/>
    </xf>
    <xf numFmtId="0" fontId="37" fillId="25" borderId="0" xfId="4" applyFill="1" applyBorder="1" applyAlignment="1" applyProtection="1">
      <alignment horizontal="center"/>
    </xf>
    <xf numFmtId="0" fontId="37" fillId="25" borderId="0" xfId="4" applyFill="1" applyBorder="1" applyProtection="1"/>
    <xf numFmtId="1" fontId="0" fillId="25" borderId="0" xfId="0" applyNumberFormat="1" applyFill="1" applyBorder="1" applyProtection="1"/>
    <xf numFmtId="0" fontId="37" fillId="0" borderId="0" xfId="4" applyFill="1" applyBorder="1" applyProtection="1"/>
    <xf numFmtId="1" fontId="37" fillId="0" borderId="0" xfId="4" applyNumberFormat="1" applyFill="1" applyBorder="1" applyAlignment="1" applyProtection="1">
      <alignment horizontal="center"/>
    </xf>
    <xf numFmtId="0" fontId="0" fillId="0" borderId="0" xfId="0" applyFill="1" applyBorder="1" applyProtection="1"/>
    <xf numFmtId="165" fontId="37" fillId="0" borderId="0" xfId="4" applyNumberFormat="1" applyFill="1" applyBorder="1" applyAlignment="1" applyProtection="1">
      <alignment horizontal="center"/>
    </xf>
    <xf numFmtId="0" fontId="1" fillId="33" borderId="29" xfId="4" applyFont="1" applyFill="1" applyBorder="1" applyAlignment="1" applyProtection="1">
      <alignment wrapText="1"/>
      <protection locked="0"/>
    </xf>
    <xf numFmtId="1" fontId="37" fillId="33" borderId="30" xfId="4" applyNumberFormat="1" applyFill="1" applyBorder="1" applyAlignment="1" applyProtection="1">
      <alignment horizontal="center"/>
      <protection locked="0"/>
    </xf>
    <xf numFmtId="2" fontId="37" fillId="33" borderId="30" xfId="4" applyNumberFormat="1" applyFill="1" applyBorder="1" applyAlignment="1" applyProtection="1">
      <alignment horizontal="center"/>
      <protection locked="0"/>
    </xf>
    <xf numFmtId="1" fontId="37" fillId="33" borderId="31" xfId="4" applyNumberFormat="1" applyFill="1" applyBorder="1" applyAlignment="1" applyProtection="1">
      <alignment horizontal="center"/>
      <protection locked="0"/>
    </xf>
    <xf numFmtId="0" fontId="1" fillId="33" borderId="32" xfId="4" applyFont="1" applyFill="1" applyBorder="1" applyProtection="1">
      <protection locked="0"/>
    </xf>
    <xf numFmtId="1" fontId="37" fillId="33" borderId="33" xfId="4" applyNumberFormat="1" applyFill="1" applyBorder="1" applyAlignment="1" applyProtection="1">
      <alignment horizontal="center"/>
      <protection locked="0"/>
    </xf>
    <xf numFmtId="2" fontId="37" fillId="33" borderId="33" xfId="4" applyNumberFormat="1" applyFill="1" applyBorder="1" applyAlignment="1" applyProtection="1">
      <alignment horizontal="center"/>
      <protection locked="0"/>
    </xf>
    <xf numFmtId="1" fontId="37" fillId="33" borderId="34" xfId="4" applyNumberFormat="1" applyFill="1" applyBorder="1" applyAlignment="1" applyProtection="1">
      <alignment horizontal="center"/>
      <protection locked="0"/>
    </xf>
    <xf numFmtId="0" fontId="2" fillId="33" borderId="32" xfId="4" applyFont="1" applyFill="1" applyBorder="1" applyProtection="1">
      <protection locked="0"/>
    </xf>
    <xf numFmtId="0" fontId="4" fillId="33" borderId="32" xfId="4" applyFont="1" applyFill="1" applyBorder="1" applyProtection="1">
      <protection locked="0"/>
    </xf>
    <xf numFmtId="0" fontId="37" fillId="33" borderId="35" xfId="4" applyFill="1" applyBorder="1" applyProtection="1">
      <protection locked="0"/>
    </xf>
    <xf numFmtId="1" fontId="37" fillId="33" borderId="36" xfId="4" applyNumberFormat="1" applyFill="1" applyBorder="1" applyAlignment="1" applyProtection="1">
      <alignment horizontal="center"/>
      <protection locked="0"/>
    </xf>
    <xf numFmtId="2" fontId="37" fillId="33" borderId="36" xfId="4" applyNumberFormat="1" applyFill="1" applyBorder="1" applyAlignment="1" applyProtection="1">
      <alignment horizontal="center"/>
      <protection locked="0"/>
    </xf>
    <xf numFmtId="1" fontId="37" fillId="33" borderId="37" xfId="4" applyNumberFormat="1" applyFill="1" applyBorder="1" applyAlignment="1" applyProtection="1">
      <alignment horizontal="center"/>
      <protection locked="0"/>
    </xf>
    <xf numFmtId="165" fontId="37" fillId="32" borderId="38" xfId="4" applyNumberFormat="1" applyFill="1" applyBorder="1" applyAlignment="1" applyProtection="1">
      <alignment horizontal="center"/>
      <protection locked="0"/>
    </xf>
    <xf numFmtId="1" fontId="37" fillId="32" borderId="30" xfId="4" applyNumberFormat="1" applyFill="1" applyBorder="1" applyAlignment="1" applyProtection="1">
      <alignment horizontal="center"/>
      <protection locked="0"/>
    </xf>
    <xf numFmtId="0" fontId="37" fillId="32" borderId="30" xfId="4" applyFill="1" applyBorder="1" applyAlignment="1" applyProtection="1">
      <alignment horizontal="center"/>
      <protection locked="0"/>
    </xf>
    <xf numFmtId="165" fontId="37" fillId="32" borderId="39" xfId="4" applyNumberFormat="1" applyFill="1" applyBorder="1" applyAlignment="1" applyProtection="1">
      <alignment horizontal="center"/>
      <protection locked="0"/>
    </xf>
    <xf numFmtId="1" fontId="37" fillId="32" borderId="33" xfId="4" applyNumberFormat="1" applyFill="1" applyBorder="1" applyAlignment="1" applyProtection="1">
      <alignment horizontal="center"/>
      <protection locked="0"/>
    </xf>
    <xf numFmtId="0" fontId="37" fillId="32" borderId="33" xfId="4" applyFill="1" applyBorder="1" applyAlignment="1" applyProtection="1">
      <alignment horizontal="center"/>
      <protection locked="0"/>
    </xf>
    <xf numFmtId="165" fontId="37" fillId="32" borderId="40" xfId="4" applyNumberFormat="1" applyFill="1" applyBorder="1" applyAlignment="1" applyProtection="1">
      <alignment horizontal="center"/>
      <protection locked="0"/>
    </xf>
    <xf numFmtId="1" fontId="37" fillId="32" borderId="36" xfId="4" applyNumberFormat="1" applyFill="1" applyBorder="1" applyAlignment="1" applyProtection="1">
      <alignment horizontal="center"/>
      <protection locked="0"/>
    </xf>
    <xf numFmtId="0" fontId="37" fillId="32" borderId="36" xfId="4" applyFill="1" applyBorder="1" applyAlignment="1" applyProtection="1">
      <alignment horizontal="center"/>
      <protection locked="0"/>
    </xf>
    <xf numFmtId="0" fontId="1" fillId="32" borderId="41" xfId="4" applyFont="1" applyFill="1" applyBorder="1" applyProtection="1">
      <protection locked="0"/>
    </xf>
    <xf numFmtId="1" fontId="37" fillId="32" borderId="42" xfId="4" applyNumberFormat="1" applyFill="1" applyBorder="1" applyAlignment="1" applyProtection="1">
      <alignment horizontal="center"/>
      <protection locked="0"/>
    </xf>
    <xf numFmtId="0" fontId="37" fillId="32" borderId="42" xfId="4" applyFill="1" applyBorder="1" applyAlignment="1" applyProtection="1">
      <alignment horizontal="center"/>
      <protection locked="0"/>
    </xf>
    <xf numFmtId="1" fontId="37" fillId="32" borderId="43" xfId="4" applyNumberFormat="1" applyFill="1" applyBorder="1" applyAlignment="1" applyProtection="1">
      <alignment horizontal="center"/>
      <protection locked="0"/>
    </xf>
    <xf numFmtId="0" fontId="1" fillId="32" borderId="32" xfId="4" applyFont="1" applyFill="1" applyBorder="1" applyProtection="1">
      <protection locked="0"/>
    </xf>
    <xf numFmtId="1" fontId="37" fillId="32" borderId="34" xfId="4" applyNumberFormat="1" applyFill="1" applyBorder="1" applyAlignment="1" applyProtection="1">
      <alignment horizontal="center"/>
      <protection locked="0"/>
    </xf>
    <xf numFmtId="0" fontId="37" fillId="32" borderId="32" xfId="4" applyFill="1" applyBorder="1" applyProtection="1">
      <protection locked="0"/>
    </xf>
    <xf numFmtId="0" fontId="37" fillId="32" borderId="47" xfId="4" applyFill="1" applyBorder="1" applyProtection="1">
      <protection locked="0"/>
    </xf>
    <xf numFmtId="1" fontId="37" fillId="32" borderId="48" xfId="4" applyNumberFormat="1" applyFill="1" applyBorder="1" applyAlignment="1" applyProtection="1">
      <alignment horizontal="center"/>
      <protection locked="0"/>
    </xf>
    <xf numFmtId="0" fontId="37" fillId="32" borderId="48" xfId="4" applyFill="1" applyBorder="1" applyAlignment="1" applyProtection="1">
      <alignment horizontal="center"/>
      <protection locked="0"/>
    </xf>
    <xf numFmtId="1" fontId="37" fillId="32" borderId="37" xfId="4" applyNumberFormat="1" applyFill="1" applyBorder="1" applyAlignment="1" applyProtection="1">
      <alignment horizontal="center"/>
      <protection locked="0"/>
    </xf>
    <xf numFmtId="165" fontId="37" fillId="32" borderId="44" xfId="4" applyNumberFormat="1" applyFill="1" applyBorder="1" applyAlignment="1" applyProtection="1">
      <alignment horizontal="center"/>
      <protection locked="0"/>
    </xf>
    <xf numFmtId="165" fontId="37" fillId="32" borderId="45" xfId="4" applyNumberFormat="1" applyFill="1" applyBorder="1" applyAlignment="1" applyProtection="1">
      <alignment horizontal="center"/>
      <protection locked="0"/>
    </xf>
    <xf numFmtId="1" fontId="37" fillId="32" borderId="46" xfId="4" applyNumberFormat="1" applyFill="1" applyBorder="1" applyAlignment="1" applyProtection="1">
      <alignment horizontal="center"/>
      <protection locked="0"/>
    </xf>
  </cellXfs>
  <cellStyles count="13">
    <cellStyle name="20% - Énfasis1" xfId="1" builtinId="30"/>
    <cellStyle name="20% - Énfasis3" xfId="2" builtinId="38"/>
    <cellStyle name="40% - Énfasis1" xfId="3" builtinId="31"/>
    <cellStyle name="40% - Énfasis3" xfId="4" builtinId="39"/>
    <cellStyle name="40% - Énfasis4" xfId="11" builtinId="43"/>
    <cellStyle name="Cálculo" xfId="9" builtinId="22"/>
    <cellStyle name="Énfasis1" xfId="5" builtinId="29"/>
    <cellStyle name="Énfasis2" xfId="8" builtinId="33"/>
    <cellStyle name="Énfasis4" xfId="10" builtinId="41"/>
    <cellStyle name="Neutral" xfId="6" builtinId="28"/>
    <cellStyle name="Normal" xfId="0" builtinId="0"/>
    <cellStyle name="Normal_Radiación" xfId="7"/>
    <cellStyle name="Salida" xfId="12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Consumption!$D$33:$K$33</c:f>
              <c:strCache>
                <c:ptCount val="8"/>
                <c:pt idx="0">
                  <c:v>Total DC Power
(W)</c:v>
                </c:pt>
                <c:pt idx="1">
                  <c:v>Total AC Power
(W)</c:v>
                </c:pt>
                <c:pt idx="2">
                  <c:v>Nominal voltage (V)</c:v>
                </c:pt>
                <c:pt idx="3">
                  <c:v>Peak current (A)</c:v>
                </c:pt>
                <c:pt idx="4">
                  <c:v>Total consumption
Ah/day</c:v>
                </c:pt>
                <c:pt idx="5">
                  <c:v>Wiring Efficiency factor</c:v>
                </c:pt>
                <c:pt idx="6">
                  <c:v>Battery efficiency factor
de la batería</c:v>
                </c:pt>
                <c:pt idx="7">
                  <c:v>Reviewed Total Consumption
(Ah/día)</c:v>
                </c:pt>
              </c:strCache>
            </c:strRef>
          </c:cat>
          <c:val>
            <c:numRef>
              <c:f>Consumption!$D$34:$K$34</c:f>
              <c:numCache>
                <c:formatCode>#,##0.00</c:formatCode>
                <c:ptCount val="8"/>
                <c:pt idx="0" formatCode="General">
                  <c:v>384</c:v>
                </c:pt>
                <c:pt idx="1">
                  <c:v>2420</c:v>
                </c:pt>
                <c:pt idx="2" formatCode="0">
                  <c:v>220</c:v>
                </c:pt>
                <c:pt idx="3" formatCode="0.00">
                  <c:v>12.745454545454546</c:v>
                </c:pt>
                <c:pt idx="4" formatCode="0.00">
                  <c:v>192.06709956709955</c:v>
                </c:pt>
                <c:pt idx="5" formatCode="General">
                  <c:v>0.98</c:v>
                </c:pt>
                <c:pt idx="6" formatCode="General">
                  <c:v>0.95</c:v>
                </c:pt>
                <c:pt idx="7">
                  <c:v>206.30193293995657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76160"/>
        <c:axId val="127277696"/>
      </c:barChart>
      <c:catAx>
        <c:axId val="1272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277696"/>
        <c:crosses val="autoZero"/>
        <c:auto val="1"/>
        <c:lblAlgn val="ctr"/>
        <c:lblOffset val="100"/>
        <c:noMultiLvlLbl val="0"/>
      </c:catAx>
      <c:valAx>
        <c:axId val="12727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276160"/>
        <c:crosses val="autoZero"/>
        <c:crossBetween val="between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P$12" fmlaRange="Radiation!$B$3:$B$7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755571" y="11085286"/>
    <xdr:ext cx="9293551" cy="6065140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203200</xdr:colOff>
          <xdr:row>9</xdr:row>
          <xdr:rowOff>19050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R92"/>
  <sheetViews>
    <sheetView showGridLines="0" tabSelected="1" defaultGridColor="0" colorId="51" zoomScale="70" zoomScaleNormal="70" zoomScaleSheetLayoutView="75" workbookViewId="0">
      <selection activeCell="H21" sqref="H21:J29"/>
    </sheetView>
  </sheetViews>
  <sheetFormatPr baseColWidth="10" defaultRowHeight="12.5"/>
  <cols>
    <col min="1" max="1" width="6.7265625" style="463" customWidth="1"/>
    <col min="2" max="2" width="8.7265625" style="463" customWidth="1"/>
    <col min="3" max="3" width="35.26953125" style="463" customWidth="1"/>
    <col min="4" max="4" width="15.7265625" style="463" customWidth="1"/>
    <col min="5" max="6" width="16.7265625" style="463" customWidth="1"/>
    <col min="7" max="7" width="18.26953125" style="463" customWidth="1"/>
    <col min="8" max="8" width="16.7265625" style="463" customWidth="1"/>
    <col min="9" max="9" width="18.54296875" style="463" customWidth="1"/>
    <col min="10" max="11" width="16.7265625" style="463" customWidth="1"/>
    <col min="12" max="12" width="16.1796875" style="463" customWidth="1"/>
    <col min="13" max="14" width="8.7265625" style="463" customWidth="1"/>
    <col min="15" max="18" width="10.90625" style="463"/>
  </cols>
  <sheetData>
    <row r="1" spans="1:16" ht="16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18.75" customHeight="1">
      <c r="A2" s="422"/>
      <c r="B2" s="423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318"/>
      <c r="N2" s="422"/>
      <c r="O2" s="422"/>
      <c r="P2" s="422"/>
    </row>
    <row r="3" spans="1:16" ht="15.5">
      <c r="A3" s="422"/>
      <c r="B3" s="426"/>
      <c r="C3" s="321" t="s">
        <v>172</v>
      </c>
      <c r="D3" s="556" t="s">
        <v>293</v>
      </c>
      <c r="E3" s="557"/>
      <c r="F3" s="557"/>
      <c r="G3" s="321" t="s">
        <v>174</v>
      </c>
      <c r="H3" s="558" t="s">
        <v>214</v>
      </c>
      <c r="I3" s="558"/>
      <c r="J3" s="558"/>
      <c r="K3" s="321"/>
      <c r="L3" s="321"/>
      <c r="M3" s="559"/>
      <c r="N3" s="422"/>
      <c r="O3" s="422"/>
      <c r="P3" s="422"/>
    </row>
    <row r="4" spans="1:16" ht="15.5">
      <c r="A4" s="422"/>
      <c r="B4" s="426"/>
      <c r="C4" s="324"/>
      <c r="D4" s="324"/>
      <c r="E4" s="324"/>
      <c r="F4" s="324"/>
      <c r="G4" s="324"/>
      <c r="H4" s="324"/>
      <c r="I4" s="324"/>
      <c r="J4" s="324"/>
      <c r="K4" s="321"/>
      <c r="L4" s="321"/>
      <c r="M4" s="325"/>
      <c r="N4" s="422"/>
      <c r="O4" s="422"/>
      <c r="P4" s="422"/>
    </row>
    <row r="5" spans="1:16" ht="15.5">
      <c r="A5" s="422"/>
      <c r="B5" s="426"/>
      <c r="C5" s="321" t="s">
        <v>173</v>
      </c>
      <c r="D5" s="558" t="s">
        <v>294</v>
      </c>
      <c r="E5" s="560"/>
      <c r="F5" s="560"/>
      <c r="G5" s="321" t="s">
        <v>175</v>
      </c>
      <c r="H5" s="207">
        <v>42920</v>
      </c>
      <c r="I5" s="207"/>
      <c r="J5" s="207"/>
      <c r="K5" s="321"/>
      <c r="L5" s="321"/>
      <c r="M5" s="213"/>
      <c r="N5" s="422"/>
      <c r="O5" s="422"/>
      <c r="P5" s="422"/>
    </row>
    <row r="6" spans="1:16" ht="15.5">
      <c r="A6" s="422"/>
      <c r="B6" s="426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213"/>
      <c r="N6" s="422"/>
      <c r="O6" s="422"/>
      <c r="P6" s="422"/>
    </row>
    <row r="7" spans="1:16" ht="20">
      <c r="A7" s="422"/>
      <c r="B7" s="426"/>
      <c r="C7" s="434" t="s">
        <v>176</v>
      </c>
      <c r="D7" s="324"/>
      <c r="E7" s="324"/>
      <c r="F7" s="324"/>
      <c r="G7" s="324"/>
      <c r="H7" s="324"/>
      <c r="I7" s="324"/>
      <c r="J7" s="324"/>
      <c r="K7" s="324"/>
      <c r="L7" s="324"/>
      <c r="M7" s="325"/>
      <c r="N7" s="422"/>
      <c r="O7" s="422"/>
      <c r="P7" s="422"/>
    </row>
    <row r="8" spans="1:16" ht="20">
      <c r="A8" s="422"/>
      <c r="B8" s="426"/>
      <c r="C8" s="330"/>
      <c r="D8" s="324"/>
      <c r="E8" s="324"/>
      <c r="F8" s="324"/>
      <c r="G8" s="324"/>
      <c r="H8" s="324"/>
      <c r="I8" s="324"/>
      <c r="J8" s="324"/>
      <c r="K8" s="324"/>
      <c r="L8" s="324"/>
      <c r="M8" s="325"/>
      <c r="N8" s="422"/>
      <c r="O8" s="422"/>
      <c r="P8" s="422"/>
    </row>
    <row r="9" spans="1:16" ht="19.5" customHeight="1" thickBot="1">
      <c r="A9" s="422"/>
      <c r="B9" s="426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25"/>
      <c r="N9" s="422"/>
      <c r="O9" s="422"/>
      <c r="P9" s="422"/>
    </row>
    <row r="10" spans="1:16" ht="47.5" thickTop="1" thickBot="1">
      <c r="A10" s="422"/>
      <c r="B10" s="426"/>
      <c r="C10" s="561" t="s">
        <v>177</v>
      </c>
      <c r="D10" s="562" t="s">
        <v>178</v>
      </c>
      <c r="E10" s="562" t="s">
        <v>179</v>
      </c>
      <c r="F10" s="562" t="s">
        <v>265</v>
      </c>
      <c r="G10" s="563" t="s">
        <v>181</v>
      </c>
      <c r="H10" s="564" t="s">
        <v>183</v>
      </c>
      <c r="I10" s="564" t="s">
        <v>184</v>
      </c>
      <c r="J10" s="564" t="s">
        <v>185</v>
      </c>
      <c r="K10" s="564" t="s">
        <v>266</v>
      </c>
      <c r="L10" s="565" t="s">
        <v>186</v>
      </c>
      <c r="M10" s="325"/>
      <c r="N10" s="422"/>
      <c r="O10" s="422"/>
      <c r="P10" s="422"/>
    </row>
    <row r="11" spans="1:16" ht="18.75" customHeight="1" thickBot="1">
      <c r="A11" s="422"/>
      <c r="B11" s="426"/>
      <c r="C11" s="566" t="s">
        <v>182</v>
      </c>
      <c r="D11" s="567"/>
      <c r="E11" s="567"/>
      <c r="F11" s="567"/>
      <c r="G11" s="567"/>
      <c r="H11" s="567"/>
      <c r="I11" s="567"/>
      <c r="J11" s="567"/>
      <c r="K11" s="567"/>
      <c r="L11" s="568"/>
      <c r="M11" s="325"/>
      <c r="N11" s="422"/>
      <c r="O11" s="422"/>
      <c r="P11" s="422"/>
    </row>
    <row r="12" spans="1:16" ht="25" customHeight="1">
      <c r="A12" s="422"/>
      <c r="B12" s="426"/>
      <c r="C12" s="592" t="s">
        <v>297</v>
      </c>
      <c r="D12" s="593">
        <v>1</v>
      </c>
      <c r="E12" s="594">
        <v>4</v>
      </c>
      <c r="F12" s="595">
        <v>220</v>
      </c>
      <c r="G12" s="97">
        <f>D12*E12*F12</f>
        <v>880</v>
      </c>
      <c r="H12" s="606">
        <v>2</v>
      </c>
      <c r="I12" s="607">
        <v>7</v>
      </c>
      <c r="J12" s="608">
        <v>0.88</v>
      </c>
      <c r="K12" s="122">
        <v>220</v>
      </c>
      <c r="L12" s="100">
        <f>IF(OR(G12=0,K12=""),"0",(G12*H12*(I12/7))/(J12*K12))</f>
        <v>9.0909090909090917</v>
      </c>
      <c r="M12" s="325"/>
      <c r="N12" s="422"/>
      <c r="O12" s="422"/>
      <c r="P12" s="422"/>
    </row>
    <row r="13" spans="1:16" ht="25" customHeight="1">
      <c r="A13" s="422"/>
      <c r="B13" s="426"/>
      <c r="C13" s="596" t="s">
        <v>295</v>
      </c>
      <c r="D13" s="597">
        <v>1</v>
      </c>
      <c r="E13" s="598">
        <v>2</v>
      </c>
      <c r="F13" s="599">
        <v>220</v>
      </c>
      <c r="G13" s="98">
        <f t="shared" ref="G13:G19" si="0">D13*E13*F13</f>
        <v>440</v>
      </c>
      <c r="H13" s="609">
        <v>24</v>
      </c>
      <c r="I13" s="610">
        <v>7</v>
      </c>
      <c r="J13" s="611">
        <v>0.9</v>
      </c>
      <c r="K13" s="122">
        <v>220</v>
      </c>
      <c r="L13" s="101">
        <f>IF(OR(G13=0,K13=0),"0",(G13*H13*(I13/7))/(J13*K13))</f>
        <v>53.333333333333336</v>
      </c>
      <c r="M13" s="325"/>
      <c r="N13" s="422"/>
      <c r="O13" s="422"/>
      <c r="P13" s="422"/>
    </row>
    <row r="14" spans="1:16" ht="25" customHeight="1">
      <c r="A14" s="422"/>
      <c r="B14" s="426"/>
      <c r="C14" s="596" t="s">
        <v>296</v>
      </c>
      <c r="D14" s="597">
        <v>1</v>
      </c>
      <c r="E14" s="598">
        <v>5</v>
      </c>
      <c r="F14" s="599">
        <v>220</v>
      </c>
      <c r="G14" s="98">
        <f t="shared" si="0"/>
        <v>1100</v>
      </c>
      <c r="H14" s="609">
        <v>0.5</v>
      </c>
      <c r="I14" s="610">
        <v>2</v>
      </c>
      <c r="J14" s="611">
        <v>0.8</v>
      </c>
      <c r="K14" s="122">
        <v>220</v>
      </c>
      <c r="L14" s="101">
        <f t="shared" ref="L14:L19" si="1">IF(OR(G14=0,K14=0),"0",(G14*H14*(I14/7))/(J14*K14))</f>
        <v>0.89285714285714279</v>
      </c>
      <c r="M14" s="325"/>
      <c r="N14" s="422"/>
      <c r="O14" s="422"/>
      <c r="P14" s="422"/>
    </row>
    <row r="15" spans="1:16" ht="25" customHeight="1">
      <c r="A15" s="422"/>
      <c r="B15" s="426"/>
      <c r="C15" s="600"/>
      <c r="D15" s="597"/>
      <c r="E15" s="598"/>
      <c r="F15" s="599"/>
      <c r="G15" s="98">
        <f t="shared" si="0"/>
        <v>0</v>
      </c>
      <c r="H15" s="609"/>
      <c r="I15" s="610"/>
      <c r="J15" s="611"/>
      <c r="K15" s="122"/>
      <c r="L15" s="101" t="str">
        <f t="shared" si="1"/>
        <v>0</v>
      </c>
      <c r="M15" s="325"/>
      <c r="N15" s="422"/>
      <c r="O15" s="422"/>
      <c r="P15" s="422"/>
    </row>
    <row r="16" spans="1:16" ht="25" customHeight="1">
      <c r="A16" s="422"/>
      <c r="B16" s="426"/>
      <c r="C16" s="600"/>
      <c r="D16" s="597"/>
      <c r="E16" s="598"/>
      <c r="F16" s="599"/>
      <c r="G16" s="98">
        <f t="shared" si="0"/>
        <v>0</v>
      </c>
      <c r="H16" s="609"/>
      <c r="I16" s="610"/>
      <c r="J16" s="611"/>
      <c r="K16" s="122"/>
      <c r="L16" s="101" t="str">
        <f t="shared" si="1"/>
        <v>0</v>
      </c>
      <c r="M16" s="325"/>
      <c r="N16" s="422"/>
      <c r="O16" s="422"/>
      <c r="P16" s="422"/>
    </row>
    <row r="17" spans="1:16" ht="25" customHeight="1">
      <c r="A17" s="422"/>
      <c r="B17" s="426"/>
      <c r="C17" s="601"/>
      <c r="D17" s="597"/>
      <c r="E17" s="598"/>
      <c r="F17" s="599"/>
      <c r="G17" s="98">
        <f>D17*E17*F17</f>
        <v>0</v>
      </c>
      <c r="H17" s="609"/>
      <c r="I17" s="610"/>
      <c r="J17" s="611"/>
      <c r="K17" s="122"/>
      <c r="L17" s="101" t="str">
        <f t="shared" si="1"/>
        <v>0</v>
      </c>
      <c r="M17" s="325"/>
      <c r="N17" s="422"/>
      <c r="O17" s="422"/>
      <c r="P17" s="422"/>
    </row>
    <row r="18" spans="1:16" ht="25" customHeight="1">
      <c r="A18" s="422"/>
      <c r="B18" s="426"/>
      <c r="C18" s="601"/>
      <c r="D18" s="597"/>
      <c r="E18" s="598"/>
      <c r="F18" s="599"/>
      <c r="G18" s="98">
        <f>D18*E18*F18</f>
        <v>0</v>
      </c>
      <c r="H18" s="609"/>
      <c r="I18" s="610"/>
      <c r="J18" s="611"/>
      <c r="K18" s="122"/>
      <c r="L18" s="101" t="str">
        <f t="shared" si="1"/>
        <v>0</v>
      </c>
      <c r="M18" s="325"/>
      <c r="N18" s="422"/>
      <c r="O18" s="422"/>
      <c r="P18" s="422"/>
    </row>
    <row r="19" spans="1:16" ht="25" customHeight="1" thickBot="1">
      <c r="A19" s="422"/>
      <c r="B19" s="426"/>
      <c r="C19" s="602"/>
      <c r="D19" s="603"/>
      <c r="E19" s="604"/>
      <c r="F19" s="605"/>
      <c r="G19" s="99">
        <f t="shared" si="0"/>
        <v>0</v>
      </c>
      <c r="H19" s="612"/>
      <c r="I19" s="613"/>
      <c r="J19" s="614"/>
      <c r="K19" s="122"/>
      <c r="L19" s="101" t="str">
        <f t="shared" si="1"/>
        <v>0</v>
      </c>
      <c r="M19" s="325"/>
      <c r="N19" s="422"/>
      <c r="O19" s="422"/>
      <c r="P19" s="422"/>
    </row>
    <row r="20" spans="1:16" ht="16" thickBot="1">
      <c r="A20" s="422"/>
      <c r="B20" s="426"/>
      <c r="C20" s="566" t="s">
        <v>160</v>
      </c>
      <c r="D20" s="567"/>
      <c r="E20" s="567"/>
      <c r="F20" s="567"/>
      <c r="G20" s="567"/>
      <c r="H20" s="567"/>
      <c r="I20" s="567"/>
      <c r="J20" s="567"/>
      <c r="K20" s="567"/>
      <c r="L20" s="568"/>
      <c r="M20" s="325"/>
      <c r="N20" s="422"/>
      <c r="O20" s="422"/>
      <c r="P20" s="422"/>
    </row>
    <row r="21" spans="1:16" ht="25" customHeight="1">
      <c r="A21" s="422"/>
      <c r="B21" s="426"/>
      <c r="C21" s="615" t="s">
        <v>298</v>
      </c>
      <c r="D21" s="616">
        <v>25</v>
      </c>
      <c r="E21" s="617">
        <v>0.5</v>
      </c>
      <c r="F21" s="618">
        <v>24</v>
      </c>
      <c r="G21" s="97">
        <f>(F21*E21*D21)</f>
        <v>300</v>
      </c>
      <c r="H21" s="626">
        <v>6</v>
      </c>
      <c r="I21" s="616">
        <v>7</v>
      </c>
      <c r="J21" s="617">
        <v>0.8</v>
      </c>
      <c r="K21" s="122">
        <v>24</v>
      </c>
      <c r="L21" s="100">
        <f t="shared" ref="L21:L29" si="2">IF(G21=0,"0",(G21*H21*(I21/7))/(J21*K21))</f>
        <v>93.749999999999986</v>
      </c>
      <c r="M21" s="325"/>
      <c r="N21" s="422"/>
      <c r="O21" s="422"/>
      <c r="P21" s="422"/>
    </row>
    <row r="22" spans="1:16" ht="25" customHeight="1">
      <c r="A22" s="422"/>
      <c r="B22" s="426"/>
      <c r="C22" s="619" t="s">
        <v>299</v>
      </c>
      <c r="D22" s="610">
        <v>5</v>
      </c>
      <c r="E22" s="611">
        <v>0.7</v>
      </c>
      <c r="F22" s="620">
        <v>24</v>
      </c>
      <c r="G22" s="98">
        <f t="shared" ref="G22:G29" si="3">(F22*E22*D22)</f>
        <v>83.999999999999986</v>
      </c>
      <c r="H22" s="609">
        <v>8</v>
      </c>
      <c r="I22" s="610">
        <v>7</v>
      </c>
      <c r="J22" s="611">
        <v>0.8</v>
      </c>
      <c r="K22" s="122">
        <v>24</v>
      </c>
      <c r="L22" s="101">
        <f t="shared" si="2"/>
        <v>34.999999999999986</v>
      </c>
      <c r="M22" s="325"/>
      <c r="N22" s="422"/>
      <c r="O22" s="422"/>
      <c r="P22" s="422"/>
    </row>
    <row r="23" spans="1:16" ht="25" customHeight="1">
      <c r="A23" s="422"/>
      <c r="B23" s="426"/>
      <c r="C23" s="621"/>
      <c r="D23" s="610"/>
      <c r="E23" s="611"/>
      <c r="F23" s="620"/>
      <c r="G23" s="98">
        <f t="shared" si="3"/>
        <v>0</v>
      </c>
      <c r="H23" s="609"/>
      <c r="I23" s="610"/>
      <c r="J23" s="611"/>
      <c r="K23" s="122"/>
      <c r="L23" s="101" t="str">
        <f t="shared" si="2"/>
        <v>0</v>
      </c>
      <c r="M23" s="325"/>
      <c r="N23" s="422"/>
      <c r="O23" s="422"/>
      <c r="P23" s="422"/>
    </row>
    <row r="24" spans="1:16" ht="25" customHeight="1">
      <c r="A24" s="422"/>
      <c r="B24" s="426"/>
      <c r="C24" s="621"/>
      <c r="D24" s="610"/>
      <c r="E24" s="611"/>
      <c r="F24" s="620"/>
      <c r="G24" s="98">
        <f t="shared" si="3"/>
        <v>0</v>
      </c>
      <c r="H24" s="609"/>
      <c r="I24" s="610"/>
      <c r="J24" s="611"/>
      <c r="K24" s="122"/>
      <c r="L24" s="101" t="str">
        <f t="shared" si="2"/>
        <v>0</v>
      </c>
      <c r="M24" s="325"/>
      <c r="N24" s="422"/>
      <c r="O24" s="422"/>
      <c r="P24" s="422"/>
    </row>
    <row r="25" spans="1:16" ht="25" customHeight="1">
      <c r="A25" s="422"/>
      <c r="B25" s="426"/>
      <c r="C25" s="621"/>
      <c r="D25" s="610"/>
      <c r="E25" s="611"/>
      <c r="F25" s="620"/>
      <c r="G25" s="98">
        <f t="shared" si="3"/>
        <v>0</v>
      </c>
      <c r="H25" s="609"/>
      <c r="I25" s="610"/>
      <c r="J25" s="611"/>
      <c r="K25" s="122"/>
      <c r="L25" s="101" t="str">
        <f t="shared" si="2"/>
        <v>0</v>
      </c>
      <c r="M25" s="325"/>
      <c r="N25" s="422"/>
      <c r="O25" s="422"/>
      <c r="P25" s="422"/>
    </row>
    <row r="26" spans="1:16" ht="25" customHeight="1">
      <c r="A26" s="422"/>
      <c r="B26" s="426"/>
      <c r="C26" s="621"/>
      <c r="D26" s="610"/>
      <c r="E26" s="611"/>
      <c r="F26" s="620"/>
      <c r="G26" s="98">
        <f t="shared" si="3"/>
        <v>0</v>
      </c>
      <c r="H26" s="609"/>
      <c r="I26" s="610"/>
      <c r="J26" s="611"/>
      <c r="K26" s="122"/>
      <c r="L26" s="101" t="str">
        <f t="shared" si="2"/>
        <v>0</v>
      </c>
      <c r="M26" s="325"/>
      <c r="N26" s="422"/>
      <c r="O26" s="422"/>
      <c r="P26" s="422"/>
    </row>
    <row r="27" spans="1:16" ht="25" customHeight="1">
      <c r="A27" s="422"/>
      <c r="B27" s="426"/>
      <c r="C27" s="621"/>
      <c r="D27" s="610"/>
      <c r="E27" s="611"/>
      <c r="F27" s="620"/>
      <c r="G27" s="98">
        <f t="shared" si="3"/>
        <v>0</v>
      </c>
      <c r="H27" s="609"/>
      <c r="I27" s="610"/>
      <c r="J27" s="611"/>
      <c r="K27" s="122"/>
      <c r="L27" s="101" t="str">
        <f t="shared" si="2"/>
        <v>0</v>
      </c>
      <c r="M27" s="325"/>
      <c r="N27" s="422"/>
      <c r="O27" s="422"/>
      <c r="P27" s="422"/>
    </row>
    <row r="28" spans="1:16" ht="25" customHeight="1">
      <c r="A28" s="422"/>
      <c r="B28" s="426"/>
      <c r="C28" s="621"/>
      <c r="D28" s="610"/>
      <c r="E28" s="611"/>
      <c r="F28" s="620"/>
      <c r="G28" s="98">
        <f t="shared" si="3"/>
        <v>0</v>
      </c>
      <c r="H28" s="609"/>
      <c r="I28" s="610"/>
      <c r="J28" s="611"/>
      <c r="K28" s="122"/>
      <c r="L28" s="101" t="str">
        <f t="shared" si="2"/>
        <v>0</v>
      </c>
      <c r="M28" s="325"/>
      <c r="N28" s="422"/>
      <c r="O28" s="422"/>
      <c r="P28" s="422"/>
    </row>
    <row r="29" spans="1:16" ht="25" customHeight="1" thickBot="1">
      <c r="A29" s="422"/>
      <c r="B29" s="426"/>
      <c r="C29" s="622"/>
      <c r="D29" s="623"/>
      <c r="E29" s="624"/>
      <c r="F29" s="625"/>
      <c r="G29" s="99">
        <f t="shared" si="3"/>
        <v>0</v>
      </c>
      <c r="H29" s="627"/>
      <c r="I29" s="628"/>
      <c r="J29" s="624"/>
      <c r="K29" s="122"/>
      <c r="L29" s="102" t="str">
        <f t="shared" si="2"/>
        <v>0</v>
      </c>
      <c r="M29" s="325"/>
      <c r="N29" s="422"/>
      <c r="O29" s="422"/>
      <c r="P29" s="422"/>
    </row>
    <row r="30" spans="1:16" ht="44.5" thickTop="1" thickBot="1">
      <c r="A30" s="422"/>
      <c r="B30" s="426"/>
      <c r="C30" s="324"/>
      <c r="D30" s="324"/>
      <c r="E30" s="324"/>
      <c r="F30" s="569" t="s">
        <v>187</v>
      </c>
      <c r="G30" s="96">
        <f>SUM(G12:G19,G21:G29)</f>
        <v>2804</v>
      </c>
      <c r="H30" s="570"/>
      <c r="I30" s="571"/>
      <c r="J30" s="324"/>
      <c r="K30" s="572" t="s">
        <v>188</v>
      </c>
      <c r="L30" s="96">
        <f>SUM(L12:L19,L21:L29)</f>
        <v>192.06709956709955</v>
      </c>
      <c r="M30" s="325"/>
      <c r="N30" s="422"/>
      <c r="O30" s="422"/>
      <c r="P30" s="422"/>
    </row>
    <row r="31" spans="1:16" ht="13" thickTop="1">
      <c r="A31" s="422"/>
      <c r="B31" s="426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5"/>
      <c r="N31" s="422"/>
      <c r="O31" s="422"/>
      <c r="P31" s="422"/>
    </row>
    <row r="32" spans="1:16" ht="19.5" customHeight="1" thickBot="1">
      <c r="A32" s="422"/>
      <c r="B32" s="426"/>
      <c r="C32" s="324"/>
      <c r="D32" s="324"/>
      <c r="E32" s="324"/>
      <c r="F32" s="324"/>
      <c r="G32" s="324"/>
      <c r="H32" s="324"/>
      <c r="I32" s="324"/>
      <c r="J32" s="324"/>
      <c r="K32" s="573"/>
      <c r="L32" s="324"/>
      <c r="M32" s="325"/>
      <c r="N32" s="422"/>
      <c r="O32" s="422"/>
      <c r="P32" s="422"/>
    </row>
    <row r="33" spans="1:16" ht="61.5" customHeight="1" thickTop="1" thickBot="1">
      <c r="A33" s="422"/>
      <c r="B33" s="426"/>
      <c r="C33" s="324"/>
      <c r="D33" s="574" t="s">
        <v>189</v>
      </c>
      <c r="E33" s="575" t="s">
        <v>190</v>
      </c>
      <c r="F33" s="575" t="s">
        <v>266</v>
      </c>
      <c r="G33" s="575" t="s">
        <v>191</v>
      </c>
      <c r="H33" s="575" t="s">
        <v>192</v>
      </c>
      <c r="I33" s="576" t="s">
        <v>193</v>
      </c>
      <c r="J33" s="576" t="s">
        <v>194</v>
      </c>
      <c r="K33" s="577" t="s">
        <v>195</v>
      </c>
      <c r="L33" s="578"/>
      <c r="M33" s="325"/>
      <c r="N33" s="422"/>
      <c r="O33" s="422"/>
      <c r="P33" s="422"/>
    </row>
    <row r="34" spans="1:16" ht="21.5" thickBot="1">
      <c r="A34" s="422"/>
      <c r="B34" s="426"/>
      <c r="C34" s="324"/>
      <c r="D34" s="105">
        <f>SUM(G21:G29)</f>
        <v>384</v>
      </c>
      <c r="E34" s="106">
        <f>SUM(G12:G19)</f>
        <v>2420</v>
      </c>
      <c r="F34" s="107">
        <f>IF(K12="",K21,K12)</f>
        <v>220</v>
      </c>
      <c r="G34" s="108">
        <f>IF(F34=0,"0",G30/F34)</f>
        <v>12.745454545454546</v>
      </c>
      <c r="H34" s="108">
        <f>$L$30</f>
        <v>192.06709956709955</v>
      </c>
      <c r="I34" s="579">
        <v>0.98</v>
      </c>
      <c r="J34" s="580">
        <v>0.95</v>
      </c>
      <c r="K34" s="248">
        <f>(H34/(I34*J34))</f>
        <v>206.30193293995657</v>
      </c>
      <c r="L34" s="578"/>
      <c r="M34" s="325"/>
      <c r="N34" s="422"/>
      <c r="O34" s="422"/>
      <c r="P34" s="422"/>
    </row>
    <row r="35" spans="1:16" ht="13" thickTop="1">
      <c r="A35" s="422"/>
      <c r="B35" s="319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5"/>
      <c r="N35" s="422"/>
      <c r="O35" s="422"/>
      <c r="P35" s="422"/>
    </row>
    <row r="36" spans="1:16" ht="13" thickBot="1">
      <c r="A36" s="422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  <c r="N36" s="422"/>
      <c r="O36" s="422"/>
      <c r="P36" s="422"/>
    </row>
    <row r="37" spans="1:16">
      <c r="A37" s="422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</row>
    <row r="38" spans="1:16">
      <c r="A38" s="422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</row>
    <row r="39" spans="1:16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</row>
    <row r="40" spans="1:16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</row>
    <row r="41" spans="1:16">
      <c r="A41" s="422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</row>
    <row r="42" spans="1:16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</row>
    <row r="43" spans="1:16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</row>
    <row r="44" spans="1:16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</row>
    <row r="45" spans="1:16">
      <c r="A45" s="422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</row>
    <row r="46" spans="1:16">
      <c r="A46" s="422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</row>
    <row r="47" spans="1:16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</row>
    <row r="48" spans="1:16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</row>
    <row r="49" spans="1:16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</row>
    <row r="50" spans="1:16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</row>
    <row r="51" spans="1:16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</row>
    <row r="52" spans="1:16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</row>
    <row r="53" spans="1:16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</row>
    <row r="54" spans="1:16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</row>
    <row r="55" spans="1:16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</row>
    <row r="56" spans="1:16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</row>
    <row r="57" spans="1:16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</row>
    <row r="58" spans="1:16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</row>
    <row r="59" spans="1:16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</row>
    <row r="60" spans="1:16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</row>
    <row r="61" spans="1:16">
      <c r="A61" s="422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</row>
    <row r="62" spans="1:16">
      <c r="A62" s="422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</row>
    <row r="63" spans="1:16">
      <c r="A63" s="422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</row>
    <row r="64" spans="1:16">
      <c r="A64" s="422"/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</row>
    <row r="65" spans="1:16">
      <c r="A65" s="422"/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</row>
    <row r="66" spans="1:16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</row>
    <row r="67" spans="1:16">
      <c r="A67" s="422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</row>
    <row r="68" spans="1:16">
      <c r="A68" s="422"/>
      <c r="B68" s="422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422"/>
      <c r="N68" s="422"/>
      <c r="O68" s="422"/>
      <c r="P68" s="422"/>
    </row>
    <row r="69" spans="1:16">
      <c r="A69" s="422"/>
      <c r="B69" s="422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422"/>
      <c r="N69" s="422"/>
      <c r="O69" s="422"/>
      <c r="P69" s="422"/>
    </row>
    <row r="70" spans="1:16">
      <c r="A70" s="422"/>
      <c r="B70" s="422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422"/>
      <c r="N70" s="422"/>
      <c r="O70" s="422"/>
      <c r="P70" s="422"/>
    </row>
    <row r="71" spans="1:16">
      <c r="A71" s="422"/>
      <c r="B71" s="422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422"/>
      <c r="N71" s="422"/>
      <c r="O71" s="422"/>
      <c r="P71" s="422"/>
    </row>
    <row r="72" spans="1:16" ht="14.5">
      <c r="A72" s="422"/>
      <c r="B72" s="422"/>
      <c r="C72" s="581"/>
      <c r="D72" s="582"/>
      <c r="E72" s="583"/>
      <c r="F72" s="582"/>
      <c r="G72" s="324"/>
      <c r="H72" s="584"/>
      <c r="I72" s="582"/>
      <c r="J72" s="585"/>
      <c r="K72" s="582"/>
      <c r="L72" s="324"/>
      <c r="M72" s="422"/>
      <c r="N72" s="422"/>
      <c r="O72" s="422"/>
      <c r="P72" s="422"/>
    </row>
    <row r="73" spans="1:16" ht="14.5">
      <c r="A73" s="422"/>
      <c r="B73" s="422"/>
      <c r="C73" s="586"/>
      <c r="D73" s="582"/>
      <c r="E73" s="583"/>
      <c r="F73" s="582"/>
      <c r="G73" s="324"/>
      <c r="H73" s="584"/>
      <c r="I73" s="582"/>
      <c r="J73" s="585"/>
      <c r="K73" s="324"/>
      <c r="L73" s="324"/>
      <c r="M73" s="422"/>
      <c r="N73" s="422"/>
      <c r="O73" s="422"/>
      <c r="P73" s="422"/>
    </row>
    <row r="74" spans="1:16" ht="14.5">
      <c r="A74" s="422"/>
      <c r="B74" s="422"/>
      <c r="C74" s="586"/>
      <c r="D74" s="582"/>
      <c r="E74" s="583"/>
      <c r="F74" s="582"/>
      <c r="G74" s="324"/>
      <c r="H74" s="584"/>
      <c r="I74" s="582"/>
      <c r="J74" s="585"/>
      <c r="K74" s="324"/>
      <c r="L74" s="324"/>
      <c r="M74" s="422"/>
      <c r="N74" s="422"/>
      <c r="O74" s="422"/>
      <c r="P74" s="422"/>
    </row>
    <row r="75" spans="1:16" ht="14.5">
      <c r="A75" s="422"/>
      <c r="B75" s="422"/>
      <c r="C75" s="586"/>
      <c r="D75" s="582"/>
      <c r="E75" s="583"/>
      <c r="F75" s="582"/>
      <c r="G75" s="324"/>
      <c r="H75" s="584"/>
      <c r="I75" s="582"/>
      <c r="J75" s="585"/>
      <c r="K75" s="324"/>
      <c r="L75" s="324"/>
      <c r="M75" s="422"/>
      <c r="N75" s="422"/>
      <c r="O75" s="422"/>
      <c r="P75" s="422"/>
    </row>
    <row r="76" spans="1:16" ht="14.5">
      <c r="A76" s="422"/>
      <c r="B76" s="422"/>
      <c r="C76" s="586"/>
      <c r="D76" s="582"/>
      <c r="E76" s="583"/>
      <c r="F76" s="582"/>
      <c r="G76" s="324"/>
      <c r="H76" s="584"/>
      <c r="I76" s="582"/>
      <c r="J76" s="585"/>
      <c r="K76" s="324"/>
      <c r="L76" s="324"/>
      <c r="M76" s="422"/>
      <c r="N76" s="422"/>
      <c r="O76" s="422"/>
      <c r="P76" s="422"/>
    </row>
    <row r="77" spans="1:16" ht="14.5">
      <c r="A77" s="422"/>
      <c r="B77" s="422"/>
      <c r="C77" s="586"/>
      <c r="D77" s="582"/>
      <c r="E77" s="583"/>
      <c r="F77" s="582"/>
      <c r="G77" s="324"/>
      <c r="H77" s="584"/>
      <c r="I77" s="582"/>
      <c r="J77" s="585"/>
      <c r="K77" s="324"/>
      <c r="L77" s="324"/>
      <c r="M77" s="422"/>
      <c r="N77" s="422"/>
      <c r="O77" s="422"/>
      <c r="P77" s="422"/>
    </row>
    <row r="78" spans="1:16" ht="14.5">
      <c r="A78" s="422"/>
      <c r="B78" s="422"/>
      <c r="C78" s="586"/>
      <c r="D78" s="582"/>
      <c r="E78" s="583"/>
      <c r="F78" s="582"/>
      <c r="G78" s="324"/>
      <c r="H78" s="584"/>
      <c r="I78" s="582"/>
      <c r="J78" s="585"/>
      <c r="K78" s="324"/>
      <c r="L78" s="324"/>
      <c r="M78" s="422"/>
      <c r="N78" s="422"/>
      <c r="O78" s="422"/>
      <c r="P78" s="422"/>
    </row>
    <row r="79" spans="1:16" ht="14.5">
      <c r="A79" s="422"/>
      <c r="B79" s="422"/>
      <c r="C79" s="586"/>
      <c r="D79" s="582"/>
      <c r="E79" s="583"/>
      <c r="F79" s="582"/>
      <c r="G79" s="324"/>
      <c r="H79" s="584"/>
      <c r="I79" s="582"/>
      <c r="J79" s="585"/>
      <c r="K79" s="324"/>
      <c r="L79" s="324"/>
      <c r="M79" s="422"/>
      <c r="N79" s="422"/>
      <c r="O79" s="422"/>
      <c r="P79" s="422"/>
    </row>
    <row r="80" spans="1:16">
      <c r="A80" s="422"/>
      <c r="B80" s="422"/>
      <c r="C80" s="324"/>
      <c r="D80" s="587"/>
      <c r="E80" s="526"/>
      <c r="F80" s="587"/>
      <c r="G80" s="324"/>
      <c r="H80" s="340"/>
      <c r="I80" s="587"/>
      <c r="J80" s="324"/>
      <c r="K80" s="324"/>
      <c r="L80" s="324"/>
      <c r="M80" s="422"/>
      <c r="N80" s="422"/>
      <c r="O80" s="422"/>
      <c r="P80" s="422"/>
    </row>
    <row r="81" spans="1:16" ht="14.5">
      <c r="A81" s="422"/>
      <c r="B81" s="422"/>
      <c r="C81" s="586"/>
      <c r="D81" s="582"/>
      <c r="E81" s="585"/>
      <c r="F81" s="582"/>
      <c r="G81" s="324"/>
      <c r="H81" s="584"/>
      <c r="I81" s="582"/>
      <c r="J81" s="585"/>
      <c r="K81" s="324"/>
      <c r="L81" s="324"/>
      <c r="M81" s="422"/>
      <c r="N81" s="422"/>
      <c r="O81" s="422"/>
      <c r="P81" s="422"/>
    </row>
    <row r="82" spans="1:16" ht="14.5">
      <c r="C82" s="588"/>
      <c r="D82" s="589"/>
      <c r="E82" s="171"/>
      <c r="F82" s="589"/>
      <c r="G82" s="590"/>
      <c r="H82" s="591"/>
      <c r="I82" s="589"/>
      <c r="J82" s="171"/>
      <c r="K82" s="590"/>
      <c r="L82" s="590"/>
    </row>
    <row r="83" spans="1:16" ht="14.5">
      <c r="C83" s="588"/>
      <c r="D83" s="589"/>
      <c r="E83" s="171"/>
      <c r="F83" s="589"/>
      <c r="G83" s="590"/>
      <c r="H83" s="591"/>
      <c r="I83" s="589"/>
      <c r="J83" s="171"/>
      <c r="K83" s="590"/>
      <c r="L83" s="590"/>
    </row>
    <row r="84" spans="1:16" ht="14.5">
      <c r="C84" s="588"/>
      <c r="D84" s="589"/>
      <c r="E84" s="171"/>
      <c r="F84" s="589"/>
      <c r="G84" s="590"/>
      <c r="H84" s="591"/>
      <c r="I84" s="589"/>
      <c r="J84" s="171"/>
      <c r="K84" s="590"/>
      <c r="L84" s="590"/>
    </row>
    <row r="85" spans="1:16" ht="14.5">
      <c r="C85" s="588"/>
      <c r="D85" s="589"/>
      <c r="E85" s="171"/>
      <c r="F85" s="589"/>
      <c r="G85" s="590"/>
      <c r="H85" s="591"/>
      <c r="I85" s="589"/>
      <c r="J85" s="171"/>
      <c r="K85" s="590"/>
      <c r="L85" s="590"/>
    </row>
    <row r="86" spans="1:16" ht="14.5">
      <c r="C86" s="588"/>
      <c r="D86" s="589"/>
      <c r="E86" s="171"/>
      <c r="F86" s="589"/>
      <c r="G86" s="590"/>
      <c r="H86" s="591"/>
      <c r="I86" s="589"/>
      <c r="J86" s="171"/>
      <c r="K86" s="590"/>
      <c r="L86" s="590"/>
    </row>
    <row r="87" spans="1:16" ht="14.5">
      <c r="C87" s="588"/>
      <c r="D87" s="589"/>
      <c r="E87" s="171"/>
      <c r="F87" s="589"/>
      <c r="G87" s="590"/>
      <c r="H87" s="591"/>
      <c r="I87" s="589"/>
      <c r="J87" s="171"/>
      <c r="K87" s="590"/>
      <c r="L87" s="590"/>
    </row>
    <row r="88" spans="1:16" ht="14.5">
      <c r="C88" s="588"/>
      <c r="D88" s="589"/>
      <c r="E88" s="171"/>
      <c r="F88" s="589"/>
      <c r="G88" s="590"/>
      <c r="H88" s="591"/>
      <c r="I88" s="589"/>
      <c r="J88" s="171"/>
      <c r="K88" s="590"/>
      <c r="L88" s="590"/>
    </row>
    <row r="89" spans="1:16" ht="14.5">
      <c r="C89" s="588"/>
      <c r="D89" s="589"/>
      <c r="E89" s="171"/>
      <c r="F89" s="589"/>
      <c r="G89" s="590"/>
      <c r="H89" s="591"/>
      <c r="I89" s="589"/>
      <c r="J89" s="171"/>
      <c r="K89" s="590"/>
      <c r="L89" s="590"/>
    </row>
    <row r="90" spans="1:16">
      <c r="C90" s="590"/>
      <c r="D90" s="590"/>
      <c r="E90" s="590"/>
      <c r="F90" s="590"/>
      <c r="G90" s="590"/>
      <c r="H90" s="590"/>
      <c r="I90" s="590"/>
      <c r="J90" s="590"/>
      <c r="K90" s="590"/>
      <c r="L90" s="590"/>
    </row>
    <row r="91" spans="1:16">
      <c r="C91" s="590"/>
      <c r="D91" s="590"/>
      <c r="E91" s="590"/>
      <c r="F91" s="590"/>
      <c r="G91" s="590"/>
      <c r="H91" s="590"/>
      <c r="I91" s="590"/>
      <c r="J91" s="590"/>
      <c r="K91" s="590"/>
      <c r="L91" s="590"/>
    </row>
    <row r="92" spans="1:16">
      <c r="C92" s="590"/>
      <c r="D92" s="590"/>
      <c r="E92" s="590"/>
      <c r="F92" s="590"/>
      <c r="G92" s="590"/>
      <c r="H92" s="590"/>
      <c r="I92" s="590"/>
      <c r="J92" s="590"/>
      <c r="K92" s="590"/>
      <c r="L92" s="590"/>
    </row>
  </sheetData>
  <sheetProtection password="9853" sheet="1" objects="1" scenarios="1" selectLockedCells="1"/>
  <dataConsolidate/>
  <mergeCells count="6">
    <mergeCell ref="D3:F3"/>
    <mergeCell ref="D5:F5"/>
    <mergeCell ref="H3:J3"/>
    <mergeCell ref="H5:J5"/>
    <mergeCell ref="C11:L11"/>
    <mergeCell ref="C20:L20"/>
  </mergeCells>
  <phoneticPr fontId="12" type="noConversion"/>
  <printOptions horizontalCentered="1" verticalCentered="1"/>
  <pageMargins left="0" right="0" top="0" bottom="0" header="0" footer="0"/>
  <pageSetup paperSize="9" scale="71" orientation="landscape" horizontalDpi="200" verticalDpi="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352"/>
  <sheetViews>
    <sheetView workbookViewId="0">
      <selection activeCell="M13" sqref="M13"/>
    </sheetView>
  </sheetViews>
  <sheetFormatPr baseColWidth="10" defaultColWidth="11.453125" defaultRowHeight="12.5"/>
  <cols>
    <col min="1" max="1" width="4" style="6" customWidth="1"/>
    <col min="2" max="2" width="21.81640625" style="6" customWidth="1"/>
    <col min="3" max="3" width="13" style="6" bestFit="1" customWidth="1"/>
    <col min="4" max="16384" width="11.453125" style="6"/>
  </cols>
  <sheetData>
    <row r="1" spans="1:15" ht="23.25" customHeight="1" thickBot="1">
      <c r="B1" s="4">
        <v>30</v>
      </c>
      <c r="C1" s="203" t="s">
        <v>218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  <c r="O1" s="5" t="s">
        <v>29</v>
      </c>
    </row>
    <row r="2" spans="1:15">
      <c r="B2" s="7"/>
      <c r="C2" s="218" t="s">
        <v>199</v>
      </c>
      <c r="D2" s="219" t="s">
        <v>200</v>
      </c>
      <c r="E2" s="219" t="s">
        <v>201</v>
      </c>
      <c r="F2" s="219" t="s">
        <v>202</v>
      </c>
      <c r="G2" s="219" t="s">
        <v>203</v>
      </c>
      <c r="H2" s="219" t="s">
        <v>204</v>
      </c>
      <c r="I2" s="219" t="s">
        <v>205</v>
      </c>
      <c r="J2" s="219" t="s">
        <v>206</v>
      </c>
      <c r="K2" s="8" t="s">
        <v>16</v>
      </c>
      <c r="L2" s="8" t="s">
        <v>17</v>
      </c>
      <c r="M2" s="8" t="s">
        <v>18</v>
      </c>
      <c r="N2" s="220" t="s">
        <v>217</v>
      </c>
      <c r="O2" s="9"/>
    </row>
    <row r="3" spans="1:15">
      <c r="A3" s="6">
        <v>1</v>
      </c>
      <c r="B3" s="7" t="s">
        <v>214</v>
      </c>
      <c r="C3" s="10">
        <v>183</v>
      </c>
      <c r="D3" s="11">
        <v>156</v>
      </c>
      <c r="E3" s="11">
        <v>126</v>
      </c>
      <c r="F3" s="11">
        <v>84</v>
      </c>
      <c r="G3" s="11">
        <v>57</v>
      </c>
      <c r="H3" s="11">
        <v>45</v>
      </c>
      <c r="I3" s="11">
        <v>54</v>
      </c>
      <c r="J3" s="11">
        <v>78</v>
      </c>
      <c r="K3" s="11">
        <v>108</v>
      </c>
      <c r="L3" s="11">
        <v>135</v>
      </c>
      <c r="M3" s="11">
        <v>168</v>
      </c>
      <c r="N3" s="12">
        <v>183</v>
      </c>
      <c r="O3" s="13">
        <v>-33</v>
      </c>
    </row>
    <row r="4" spans="1:15">
      <c r="A4" s="6">
        <f>A3+1</f>
        <v>2</v>
      </c>
      <c r="B4" s="7" t="s">
        <v>215</v>
      </c>
      <c r="C4" s="10">
        <v>210.8</v>
      </c>
      <c r="D4" s="11">
        <v>162.4</v>
      </c>
      <c r="E4" s="11">
        <v>142.6</v>
      </c>
      <c r="F4" s="11">
        <v>93</v>
      </c>
      <c r="G4" s="11">
        <v>58.9</v>
      </c>
      <c r="H4" s="11">
        <v>42</v>
      </c>
      <c r="I4" s="11">
        <v>49.6</v>
      </c>
      <c r="J4" s="11">
        <v>77.5</v>
      </c>
      <c r="K4" s="11">
        <v>117</v>
      </c>
      <c r="L4" s="11">
        <v>158.1</v>
      </c>
      <c r="M4" s="11">
        <v>186</v>
      </c>
      <c r="N4" s="12">
        <v>210.8</v>
      </c>
      <c r="O4" s="13">
        <v>-36.799999999999997</v>
      </c>
    </row>
    <row r="5" spans="1:15">
      <c r="A5" s="6">
        <f t="shared" ref="A5:A68" si="0">A4+1</f>
        <v>3</v>
      </c>
      <c r="B5" s="7" t="s">
        <v>216</v>
      </c>
      <c r="C5" s="10">
        <f>5.9*30</f>
        <v>177</v>
      </c>
      <c r="D5" s="11">
        <v>165.2</v>
      </c>
      <c r="E5" s="11">
        <v>162</v>
      </c>
      <c r="F5" s="11">
        <v>132</v>
      </c>
      <c r="G5" s="11">
        <v>102</v>
      </c>
      <c r="H5" s="11">
        <v>84</v>
      </c>
      <c r="I5" s="11">
        <v>81</v>
      </c>
      <c r="J5" s="11">
        <v>102</v>
      </c>
      <c r="K5" s="11">
        <v>123</v>
      </c>
      <c r="L5" s="11">
        <v>153</v>
      </c>
      <c r="M5" s="11">
        <v>171</v>
      </c>
      <c r="N5" s="12">
        <v>201</v>
      </c>
      <c r="O5" s="13">
        <v>-18.5</v>
      </c>
    </row>
    <row r="6" spans="1:15">
      <c r="A6" s="6">
        <f t="shared" si="0"/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</row>
    <row r="7" spans="1:15">
      <c r="A7" s="6">
        <f t="shared" si="0"/>
        <v>5</v>
      </c>
      <c r="B7" s="7"/>
    </row>
    <row r="8" spans="1:15">
      <c r="A8" s="6">
        <f t="shared" si="0"/>
        <v>6</v>
      </c>
      <c r="B8" s="7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3"/>
    </row>
    <row r="9" spans="1:15">
      <c r="A9" s="6">
        <f t="shared" si="0"/>
        <v>7</v>
      </c>
      <c r="B9" s="7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3"/>
    </row>
    <row r="10" spans="1:15">
      <c r="A10" s="6">
        <f t="shared" si="0"/>
        <v>8</v>
      </c>
      <c r="B10" s="7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</row>
    <row r="11" spans="1:15">
      <c r="A11" s="6">
        <f t="shared" si="0"/>
        <v>9</v>
      </c>
      <c r="B11" s="7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</row>
    <row r="12" spans="1:15">
      <c r="A12" s="6">
        <f t="shared" si="0"/>
        <v>10</v>
      </c>
      <c r="B12" s="7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</row>
    <row r="13" spans="1:15">
      <c r="A13" s="6">
        <f t="shared" si="0"/>
        <v>11</v>
      </c>
      <c r="B13" s="7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</row>
    <row r="14" spans="1:15">
      <c r="A14" s="6">
        <f t="shared" si="0"/>
        <v>12</v>
      </c>
      <c r="B14" s="7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</row>
    <row r="15" spans="1:15">
      <c r="A15" s="6">
        <f t="shared" si="0"/>
        <v>13</v>
      </c>
      <c r="B15" s="7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</row>
    <row r="16" spans="1:15">
      <c r="A16" s="6">
        <f t="shared" si="0"/>
        <v>14</v>
      </c>
      <c r="B16" s="7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</row>
    <row r="17" spans="1:15">
      <c r="A17" s="6">
        <f t="shared" si="0"/>
        <v>15</v>
      </c>
      <c r="B17" s="7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</row>
    <row r="18" spans="1:15">
      <c r="A18" s="6">
        <f t="shared" si="0"/>
        <v>16</v>
      </c>
      <c r="B18" s="7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>
      <c r="A19" s="6">
        <f t="shared" si="0"/>
        <v>17</v>
      </c>
      <c r="B19" s="7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>
      <c r="A20" s="6">
        <f t="shared" si="0"/>
        <v>18</v>
      </c>
      <c r="B20" s="7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3"/>
    </row>
    <row r="21" spans="1:15">
      <c r="A21" s="6">
        <f t="shared" si="0"/>
        <v>19</v>
      </c>
      <c r="B21" s="7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/>
    </row>
    <row r="22" spans="1:15">
      <c r="A22" s="6">
        <f t="shared" si="0"/>
        <v>20</v>
      </c>
      <c r="B22" s="7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>
      <c r="A23" s="6">
        <f t="shared" si="0"/>
        <v>21</v>
      </c>
      <c r="B23" s="7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>
      <c r="A24" s="6">
        <f t="shared" si="0"/>
        <v>22</v>
      </c>
      <c r="B24" s="7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</row>
    <row r="25" spans="1:15">
      <c r="A25" s="6">
        <f t="shared" si="0"/>
        <v>23</v>
      </c>
      <c r="B25" s="7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3"/>
    </row>
    <row r="26" spans="1:15">
      <c r="A26" s="6">
        <f t="shared" si="0"/>
        <v>24</v>
      </c>
      <c r="B26" s="7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3"/>
    </row>
    <row r="27" spans="1:15">
      <c r="A27" s="6">
        <f t="shared" si="0"/>
        <v>25</v>
      </c>
      <c r="B27" s="7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3"/>
    </row>
    <row r="28" spans="1:15">
      <c r="A28" s="6">
        <f t="shared" si="0"/>
        <v>26</v>
      </c>
      <c r="B28" s="7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/>
    </row>
    <row r="29" spans="1:15">
      <c r="A29" s="6">
        <f t="shared" si="0"/>
        <v>27</v>
      </c>
      <c r="B29" s="7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/>
    </row>
    <row r="30" spans="1:15">
      <c r="A30" s="6">
        <f t="shared" si="0"/>
        <v>28</v>
      </c>
      <c r="B30" s="7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3"/>
    </row>
    <row r="31" spans="1:15">
      <c r="A31" s="6">
        <f t="shared" si="0"/>
        <v>29</v>
      </c>
      <c r="B31" s="7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3"/>
    </row>
    <row r="32" spans="1:15">
      <c r="A32" s="6">
        <f t="shared" si="0"/>
        <v>30</v>
      </c>
      <c r="B32" s="7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3"/>
    </row>
    <row r="33" spans="1:15">
      <c r="A33" s="6">
        <f t="shared" si="0"/>
        <v>31</v>
      </c>
      <c r="B33" s="7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3"/>
    </row>
    <row r="34" spans="1:15">
      <c r="A34" s="6">
        <f t="shared" si="0"/>
        <v>32</v>
      </c>
      <c r="B34" s="7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3"/>
    </row>
    <row r="35" spans="1:15">
      <c r="A35" s="6">
        <f t="shared" si="0"/>
        <v>33</v>
      </c>
      <c r="B35" s="7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3"/>
    </row>
    <row r="36" spans="1:15">
      <c r="A36" s="6">
        <f t="shared" si="0"/>
        <v>34</v>
      </c>
      <c r="B36" s="7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3"/>
    </row>
    <row r="37" spans="1:15">
      <c r="A37" s="6">
        <f t="shared" si="0"/>
        <v>35</v>
      </c>
      <c r="B37" s="7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3"/>
    </row>
    <row r="38" spans="1:15">
      <c r="A38" s="6">
        <f t="shared" si="0"/>
        <v>36</v>
      </c>
      <c r="B38" s="7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3"/>
    </row>
    <row r="39" spans="1:15">
      <c r="A39" s="6">
        <f t="shared" si="0"/>
        <v>37</v>
      </c>
      <c r="B39" s="7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3"/>
    </row>
    <row r="40" spans="1:15">
      <c r="A40" s="6">
        <f t="shared" si="0"/>
        <v>38</v>
      </c>
      <c r="B40" s="7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3"/>
    </row>
    <row r="41" spans="1:15">
      <c r="A41" s="6">
        <f t="shared" si="0"/>
        <v>39</v>
      </c>
      <c r="B41" s="7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3"/>
    </row>
    <row r="42" spans="1:15">
      <c r="A42" s="6">
        <f t="shared" si="0"/>
        <v>40</v>
      </c>
      <c r="B42" s="7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3"/>
    </row>
    <row r="43" spans="1:15">
      <c r="A43" s="6">
        <f t="shared" si="0"/>
        <v>41</v>
      </c>
      <c r="B43" s="7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3"/>
    </row>
    <row r="44" spans="1:15">
      <c r="A44" s="6">
        <f t="shared" si="0"/>
        <v>42</v>
      </c>
      <c r="B44" s="7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3"/>
    </row>
    <row r="45" spans="1:15">
      <c r="A45" s="6">
        <f t="shared" si="0"/>
        <v>43</v>
      </c>
      <c r="B45" s="7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3"/>
    </row>
    <row r="46" spans="1:15">
      <c r="A46" s="6">
        <f t="shared" si="0"/>
        <v>44</v>
      </c>
      <c r="B46" s="7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3"/>
    </row>
    <row r="47" spans="1:15">
      <c r="A47" s="6">
        <f t="shared" si="0"/>
        <v>45</v>
      </c>
      <c r="B47" s="7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3"/>
    </row>
    <row r="48" spans="1:15">
      <c r="A48" s="6">
        <f t="shared" si="0"/>
        <v>46</v>
      </c>
      <c r="B48" s="7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3"/>
    </row>
    <row r="49" spans="1:15">
      <c r="A49" s="6">
        <f t="shared" si="0"/>
        <v>47</v>
      </c>
      <c r="B49" s="7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3"/>
    </row>
    <row r="50" spans="1:15">
      <c r="A50" s="6">
        <f t="shared" si="0"/>
        <v>48</v>
      </c>
      <c r="B50" s="7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3"/>
    </row>
    <row r="51" spans="1:15">
      <c r="A51" s="6">
        <f t="shared" si="0"/>
        <v>49</v>
      </c>
      <c r="B51" s="7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3"/>
    </row>
    <row r="52" spans="1:15">
      <c r="A52" s="6">
        <f>A51+1</f>
        <v>50</v>
      </c>
      <c r="B52" s="7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3"/>
    </row>
    <row r="53" spans="1:15">
      <c r="A53" s="6">
        <f t="shared" si="0"/>
        <v>51</v>
      </c>
      <c r="B53" s="7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18"/>
    </row>
    <row r="54" spans="1:15">
      <c r="A54" s="6">
        <f t="shared" si="0"/>
        <v>52</v>
      </c>
      <c r="B54" s="7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3"/>
    </row>
    <row r="55" spans="1:15">
      <c r="A55" s="6">
        <f t="shared" si="0"/>
        <v>53</v>
      </c>
      <c r="B55" s="7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3"/>
    </row>
    <row r="56" spans="1:15">
      <c r="A56" s="6">
        <f t="shared" si="0"/>
        <v>54</v>
      </c>
      <c r="B56" s="7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</row>
    <row r="57" spans="1:15">
      <c r="A57" s="6">
        <f t="shared" si="0"/>
        <v>55</v>
      </c>
      <c r="B57" s="7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</row>
    <row r="58" spans="1:15">
      <c r="A58" s="6">
        <f t="shared" si="0"/>
        <v>56</v>
      </c>
      <c r="B58" s="7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3"/>
    </row>
    <row r="59" spans="1:15">
      <c r="A59" s="6">
        <f t="shared" si="0"/>
        <v>57</v>
      </c>
      <c r="B59" s="7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3"/>
    </row>
    <row r="60" spans="1:15">
      <c r="A60" s="6">
        <f>A59+1</f>
        <v>58</v>
      </c>
      <c r="B60" s="7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13"/>
    </row>
    <row r="61" spans="1:15">
      <c r="A61" s="6">
        <f t="shared" si="0"/>
        <v>59</v>
      </c>
      <c r="B61" s="7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  <c r="O61" s="13"/>
    </row>
    <row r="62" spans="1:15">
      <c r="A62" s="6">
        <f t="shared" si="0"/>
        <v>60</v>
      </c>
      <c r="B62" s="7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/>
      <c r="O62" s="13"/>
    </row>
    <row r="63" spans="1:15">
      <c r="A63" s="6">
        <f t="shared" si="0"/>
        <v>61</v>
      </c>
      <c r="B63" s="7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3"/>
    </row>
    <row r="64" spans="1:15">
      <c r="A64" s="6">
        <f t="shared" si="0"/>
        <v>62</v>
      </c>
      <c r="B64" s="7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/>
      <c r="O64" s="13"/>
    </row>
    <row r="65" spans="1:15">
      <c r="A65" s="6">
        <f t="shared" si="0"/>
        <v>63</v>
      </c>
      <c r="B65" s="7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  <c r="O65" s="13"/>
    </row>
    <row r="66" spans="1:15">
      <c r="A66" s="6">
        <f t="shared" si="0"/>
        <v>64</v>
      </c>
      <c r="B66" s="7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3"/>
    </row>
    <row r="67" spans="1:15">
      <c r="A67" s="6">
        <f t="shared" si="0"/>
        <v>65</v>
      </c>
      <c r="B67" s="7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3"/>
    </row>
    <row r="68" spans="1:15">
      <c r="A68" s="6">
        <f t="shared" si="0"/>
        <v>66</v>
      </c>
      <c r="B68" s="7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3"/>
    </row>
    <row r="69" spans="1:15">
      <c r="A69" s="6">
        <f>A68+1</f>
        <v>67</v>
      </c>
      <c r="B69" s="7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3"/>
    </row>
    <row r="70" spans="1:15">
      <c r="A70" s="6">
        <f>A69+1</f>
        <v>68</v>
      </c>
      <c r="B70" s="7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3"/>
    </row>
    <row r="71" spans="1:15" ht="13" thickBot="1">
      <c r="A71" s="6">
        <f>A70+1</f>
        <v>69</v>
      </c>
      <c r="B71" s="7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O71" s="22"/>
    </row>
    <row r="74" spans="1:15" ht="13" thickBot="1"/>
    <row r="75" spans="1:15" ht="13">
      <c r="B75" s="23" t="s">
        <v>20</v>
      </c>
      <c r="C75" s="24">
        <f>PI()/180</f>
        <v>1.7453292519943295E-2</v>
      </c>
      <c r="D75" s="24">
        <f t="shared" ref="D75:N75" si="1">PI()/180</f>
        <v>1.7453292519943295E-2</v>
      </c>
      <c r="E75" s="24">
        <f t="shared" si="1"/>
        <v>1.7453292519943295E-2</v>
      </c>
      <c r="F75" s="24">
        <f t="shared" si="1"/>
        <v>1.7453292519943295E-2</v>
      </c>
      <c r="G75" s="24">
        <f t="shared" si="1"/>
        <v>1.7453292519943295E-2</v>
      </c>
      <c r="H75" s="24">
        <f t="shared" si="1"/>
        <v>1.7453292519943295E-2</v>
      </c>
      <c r="I75" s="24">
        <f t="shared" si="1"/>
        <v>1.7453292519943295E-2</v>
      </c>
      <c r="J75" s="24">
        <f t="shared" si="1"/>
        <v>1.7453292519943295E-2</v>
      </c>
      <c r="K75" s="24">
        <f t="shared" si="1"/>
        <v>1.7453292519943295E-2</v>
      </c>
      <c r="L75" s="24">
        <f t="shared" si="1"/>
        <v>1.7453292519943295E-2</v>
      </c>
      <c r="M75" s="24">
        <f t="shared" si="1"/>
        <v>1.7453292519943295E-2</v>
      </c>
      <c r="N75" s="26">
        <f t="shared" si="1"/>
        <v>1.7453292519943295E-2</v>
      </c>
    </row>
    <row r="76" spans="1:15">
      <c r="B76" s="169" t="s">
        <v>30</v>
      </c>
      <c r="C76" s="6">
        <f>'Inclination angle'!$T$19</f>
        <v>19</v>
      </c>
      <c r="D76" s="6">
        <f>'Inclination angle'!$T$19</f>
        <v>19</v>
      </c>
      <c r="E76" s="6">
        <f>'Inclination angle'!$T$19</f>
        <v>19</v>
      </c>
      <c r="F76" s="6">
        <f>'Inclination angle'!$T$19</f>
        <v>19</v>
      </c>
      <c r="G76" s="6">
        <f>'Inclination angle'!$T$19</f>
        <v>19</v>
      </c>
      <c r="H76" s="6">
        <f>'Inclination angle'!$T$19</f>
        <v>19</v>
      </c>
      <c r="I76" s="6">
        <f>'Inclination angle'!$T$19</f>
        <v>19</v>
      </c>
      <c r="J76" s="6">
        <f>'Inclination angle'!$T$19</f>
        <v>19</v>
      </c>
      <c r="K76" s="6">
        <f>'Inclination angle'!$T$19</f>
        <v>19</v>
      </c>
      <c r="L76" s="6">
        <f>'Inclination angle'!$T$19</f>
        <v>19</v>
      </c>
      <c r="M76" s="6">
        <f>'Inclination angle'!$T$19</f>
        <v>19</v>
      </c>
      <c r="N76" s="180">
        <f>'Inclination angle'!$T$19</f>
        <v>19</v>
      </c>
    </row>
    <row r="77" spans="1:15">
      <c r="B77" s="169" t="s">
        <v>31</v>
      </c>
      <c r="C77" s="6">
        <f>C76*C75</f>
        <v>0.33161255787892263</v>
      </c>
      <c r="D77" s="6">
        <f t="shared" ref="D77:N77" si="2">D76*D75</f>
        <v>0.33161255787892263</v>
      </c>
      <c r="E77" s="6">
        <f t="shared" si="2"/>
        <v>0.33161255787892263</v>
      </c>
      <c r="F77" s="6">
        <f t="shared" si="2"/>
        <v>0.33161255787892263</v>
      </c>
      <c r="G77" s="6">
        <f t="shared" si="2"/>
        <v>0.33161255787892263</v>
      </c>
      <c r="H77" s="6">
        <f t="shared" si="2"/>
        <v>0.33161255787892263</v>
      </c>
      <c r="I77" s="6">
        <f t="shared" si="2"/>
        <v>0.33161255787892263</v>
      </c>
      <c r="J77" s="6">
        <f t="shared" si="2"/>
        <v>0.33161255787892263</v>
      </c>
      <c r="K77" s="6">
        <f t="shared" si="2"/>
        <v>0.33161255787892263</v>
      </c>
      <c r="L77" s="6">
        <f t="shared" si="2"/>
        <v>0.33161255787892263</v>
      </c>
      <c r="M77" s="6">
        <f t="shared" si="2"/>
        <v>0.33161255787892263</v>
      </c>
      <c r="N77" s="180">
        <f t="shared" si="2"/>
        <v>0.33161255787892263</v>
      </c>
    </row>
    <row r="78" spans="1:15">
      <c r="B78" s="169" t="s">
        <v>32</v>
      </c>
      <c r="C78" s="6">
        <f>SIN(C77)</f>
        <v>0.3255681544571567</v>
      </c>
      <c r="D78" s="6">
        <f t="shared" ref="D78:N78" si="3">SIN(D77)</f>
        <v>0.3255681544571567</v>
      </c>
      <c r="E78" s="6">
        <f t="shared" si="3"/>
        <v>0.3255681544571567</v>
      </c>
      <c r="F78" s="6">
        <f t="shared" si="3"/>
        <v>0.3255681544571567</v>
      </c>
      <c r="G78" s="6">
        <f t="shared" si="3"/>
        <v>0.3255681544571567</v>
      </c>
      <c r="H78" s="6">
        <f t="shared" si="3"/>
        <v>0.3255681544571567</v>
      </c>
      <c r="I78" s="6">
        <f t="shared" si="3"/>
        <v>0.3255681544571567</v>
      </c>
      <c r="J78" s="6">
        <f t="shared" si="3"/>
        <v>0.3255681544571567</v>
      </c>
      <c r="K78" s="6">
        <f t="shared" si="3"/>
        <v>0.3255681544571567</v>
      </c>
      <c r="L78" s="6">
        <f t="shared" si="3"/>
        <v>0.3255681544571567</v>
      </c>
      <c r="M78" s="6">
        <f t="shared" si="3"/>
        <v>0.3255681544571567</v>
      </c>
      <c r="N78" s="180">
        <f t="shared" si="3"/>
        <v>0.3255681544571567</v>
      </c>
    </row>
    <row r="79" spans="1:15">
      <c r="B79" s="169" t="s">
        <v>33</v>
      </c>
      <c r="C79" s="6">
        <f>COS(C77)</f>
        <v>0.94551857559931685</v>
      </c>
      <c r="D79" s="6">
        <f t="shared" ref="D79:N79" si="4">COS(D77)</f>
        <v>0.94551857559931685</v>
      </c>
      <c r="E79" s="6">
        <f t="shared" si="4"/>
        <v>0.94551857559931685</v>
      </c>
      <c r="F79" s="6">
        <f t="shared" si="4"/>
        <v>0.94551857559931685</v>
      </c>
      <c r="G79" s="6">
        <f t="shared" si="4"/>
        <v>0.94551857559931685</v>
      </c>
      <c r="H79" s="6">
        <f t="shared" si="4"/>
        <v>0.94551857559931685</v>
      </c>
      <c r="I79" s="6">
        <f t="shared" si="4"/>
        <v>0.94551857559931685</v>
      </c>
      <c r="J79" s="6">
        <f t="shared" si="4"/>
        <v>0.94551857559931685</v>
      </c>
      <c r="K79" s="6">
        <f t="shared" si="4"/>
        <v>0.94551857559931685</v>
      </c>
      <c r="L79" s="6">
        <f t="shared" si="4"/>
        <v>0.94551857559931685</v>
      </c>
      <c r="M79" s="6">
        <f t="shared" si="4"/>
        <v>0.94551857559931685</v>
      </c>
      <c r="N79" s="180">
        <f t="shared" si="4"/>
        <v>0.94551857559931685</v>
      </c>
    </row>
    <row r="80" spans="1:15">
      <c r="B80" s="169" t="s">
        <v>34</v>
      </c>
      <c r="C80" s="6">
        <f>'Inclination angle'!S9</f>
        <v>-33</v>
      </c>
      <c r="D80" s="6">
        <f>C80</f>
        <v>-33</v>
      </c>
      <c r="E80" s="6">
        <f t="shared" ref="E80:N80" si="5">D80</f>
        <v>-33</v>
      </c>
      <c r="F80" s="6">
        <f t="shared" si="5"/>
        <v>-33</v>
      </c>
      <c r="G80" s="6">
        <f t="shared" si="5"/>
        <v>-33</v>
      </c>
      <c r="H80" s="6">
        <f t="shared" si="5"/>
        <v>-33</v>
      </c>
      <c r="I80" s="6">
        <f t="shared" si="5"/>
        <v>-33</v>
      </c>
      <c r="J80" s="6">
        <f t="shared" si="5"/>
        <v>-33</v>
      </c>
      <c r="K80" s="6">
        <f t="shared" si="5"/>
        <v>-33</v>
      </c>
      <c r="L80" s="6">
        <f t="shared" si="5"/>
        <v>-33</v>
      </c>
      <c r="M80" s="6">
        <f t="shared" si="5"/>
        <v>-33</v>
      </c>
      <c r="N80" s="180">
        <f t="shared" si="5"/>
        <v>-33</v>
      </c>
    </row>
    <row r="81" spans="2:14">
      <c r="B81" s="169" t="s">
        <v>35</v>
      </c>
      <c r="C81" s="6">
        <f>C80*C75</f>
        <v>-0.57595865315812877</v>
      </c>
      <c r="D81" s="6">
        <f t="shared" ref="D81:N81" si="6">D80*D75</f>
        <v>-0.57595865315812877</v>
      </c>
      <c r="E81" s="6">
        <f t="shared" si="6"/>
        <v>-0.57595865315812877</v>
      </c>
      <c r="F81" s="6">
        <f t="shared" si="6"/>
        <v>-0.57595865315812877</v>
      </c>
      <c r="G81" s="6">
        <f t="shared" si="6"/>
        <v>-0.57595865315812877</v>
      </c>
      <c r="H81" s="6">
        <f t="shared" si="6"/>
        <v>-0.57595865315812877</v>
      </c>
      <c r="I81" s="6">
        <f t="shared" si="6"/>
        <v>-0.57595865315812877</v>
      </c>
      <c r="J81" s="6">
        <f t="shared" si="6"/>
        <v>-0.57595865315812877</v>
      </c>
      <c r="K81" s="6">
        <f t="shared" si="6"/>
        <v>-0.57595865315812877</v>
      </c>
      <c r="L81" s="6">
        <f t="shared" si="6"/>
        <v>-0.57595865315812877</v>
      </c>
      <c r="M81" s="6">
        <f t="shared" si="6"/>
        <v>-0.57595865315812877</v>
      </c>
      <c r="N81" s="180">
        <f t="shared" si="6"/>
        <v>-0.57595865315812877</v>
      </c>
    </row>
    <row r="82" spans="2:14">
      <c r="B82" s="169" t="s">
        <v>21</v>
      </c>
      <c r="C82" s="6">
        <f>SIN(C81)</f>
        <v>-0.54463903501502708</v>
      </c>
      <c r="D82" s="6">
        <f t="shared" ref="D82:N82" si="7">SIN(D81)</f>
        <v>-0.54463903501502708</v>
      </c>
      <c r="E82" s="6">
        <f t="shared" si="7"/>
        <v>-0.54463903501502708</v>
      </c>
      <c r="F82" s="6">
        <f t="shared" si="7"/>
        <v>-0.54463903501502708</v>
      </c>
      <c r="G82" s="6">
        <f t="shared" si="7"/>
        <v>-0.54463903501502708</v>
      </c>
      <c r="H82" s="6">
        <f t="shared" si="7"/>
        <v>-0.54463903501502708</v>
      </c>
      <c r="I82" s="6">
        <f t="shared" si="7"/>
        <v>-0.54463903501502708</v>
      </c>
      <c r="J82" s="6">
        <f t="shared" si="7"/>
        <v>-0.54463903501502708</v>
      </c>
      <c r="K82" s="6">
        <f t="shared" si="7"/>
        <v>-0.54463903501502708</v>
      </c>
      <c r="L82" s="6">
        <f t="shared" si="7"/>
        <v>-0.54463903501502708</v>
      </c>
      <c r="M82" s="6">
        <f t="shared" si="7"/>
        <v>-0.54463903501502708</v>
      </c>
      <c r="N82" s="180">
        <f t="shared" si="7"/>
        <v>-0.54463903501502708</v>
      </c>
    </row>
    <row r="83" spans="2:14">
      <c r="B83" s="169" t="s">
        <v>22</v>
      </c>
      <c r="C83" s="6">
        <f>COS(C81)</f>
        <v>0.83867056794542405</v>
      </c>
      <c r="D83" s="6">
        <f t="shared" ref="D83:N83" si="8">COS(D81)</f>
        <v>0.83867056794542405</v>
      </c>
      <c r="E83" s="6">
        <f t="shared" si="8"/>
        <v>0.83867056794542405</v>
      </c>
      <c r="F83" s="6">
        <f t="shared" si="8"/>
        <v>0.83867056794542405</v>
      </c>
      <c r="G83" s="6">
        <f t="shared" si="8"/>
        <v>0.83867056794542405</v>
      </c>
      <c r="H83" s="6">
        <f t="shared" si="8"/>
        <v>0.83867056794542405</v>
      </c>
      <c r="I83" s="6">
        <f t="shared" si="8"/>
        <v>0.83867056794542405</v>
      </c>
      <c r="J83" s="6">
        <f t="shared" si="8"/>
        <v>0.83867056794542405</v>
      </c>
      <c r="K83" s="6">
        <f t="shared" si="8"/>
        <v>0.83867056794542405</v>
      </c>
      <c r="L83" s="6">
        <f t="shared" si="8"/>
        <v>0.83867056794542405</v>
      </c>
      <c r="M83" s="6">
        <f t="shared" si="8"/>
        <v>0.83867056794542405</v>
      </c>
      <c r="N83" s="180">
        <f t="shared" si="8"/>
        <v>0.83867056794542405</v>
      </c>
    </row>
    <row r="84" spans="2:14">
      <c r="B84" s="169" t="s">
        <v>23</v>
      </c>
      <c r="C84" s="6">
        <f>TAN(C81)</f>
        <v>-0.64940759319751062</v>
      </c>
      <c r="D84" s="6">
        <f t="shared" ref="D84:N84" si="9">TAN(D81)</f>
        <v>-0.64940759319751062</v>
      </c>
      <c r="E84" s="6">
        <f t="shared" si="9"/>
        <v>-0.64940759319751062</v>
      </c>
      <c r="F84" s="6">
        <f t="shared" si="9"/>
        <v>-0.64940759319751062</v>
      </c>
      <c r="G84" s="6">
        <f t="shared" si="9"/>
        <v>-0.64940759319751062</v>
      </c>
      <c r="H84" s="6">
        <f t="shared" si="9"/>
        <v>-0.64940759319751062</v>
      </c>
      <c r="I84" s="6">
        <f t="shared" si="9"/>
        <v>-0.64940759319751062</v>
      </c>
      <c r="J84" s="6">
        <f t="shared" si="9"/>
        <v>-0.64940759319751062</v>
      </c>
      <c r="K84" s="6">
        <f t="shared" si="9"/>
        <v>-0.64940759319751062</v>
      </c>
      <c r="L84" s="6">
        <f t="shared" si="9"/>
        <v>-0.64940759319751062</v>
      </c>
      <c r="M84" s="6">
        <f t="shared" si="9"/>
        <v>-0.64940759319751062</v>
      </c>
      <c r="N84" s="180">
        <f t="shared" si="9"/>
        <v>-0.64940759319751062</v>
      </c>
    </row>
    <row r="85" spans="2:14">
      <c r="B85" s="169" t="s">
        <v>36</v>
      </c>
      <c r="C85" s="6">
        <f>(C80-C76)*C75</f>
        <v>-0.90757121103705141</v>
      </c>
      <c r="D85" s="6">
        <f t="shared" ref="D85:N85" si="10">(D80-D76)*D75</f>
        <v>-0.90757121103705141</v>
      </c>
      <c r="E85" s="6">
        <f t="shared" si="10"/>
        <v>-0.90757121103705141</v>
      </c>
      <c r="F85" s="6">
        <f t="shared" si="10"/>
        <v>-0.90757121103705141</v>
      </c>
      <c r="G85" s="6">
        <f t="shared" si="10"/>
        <v>-0.90757121103705141</v>
      </c>
      <c r="H85" s="6">
        <f t="shared" si="10"/>
        <v>-0.90757121103705141</v>
      </c>
      <c r="I85" s="6">
        <f t="shared" si="10"/>
        <v>-0.90757121103705141</v>
      </c>
      <c r="J85" s="6">
        <f t="shared" si="10"/>
        <v>-0.90757121103705141</v>
      </c>
      <c r="K85" s="6">
        <f t="shared" si="10"/>
        <v>-0.90757121103705141</v>
      </c>
      <c r="L85" s="6">
        <f t="shared" si="10"/>
        <v>-0.90757121103705141</v>
      </c>
      <c r="M85" s="6">
        <f t="shared" si="10"/>
        <v>-0.90757121103705141</v>
      </c>
      <c r="N85" s="180">
        <f t="shared" si="10"/>
        <v>-0.90757121103705141</v>
      </c>
    </row>
    <row r="86" spans="2:14" ht="13">
      <c r="B86" s="25" t="s">
        <v>24</v>
      </c>
      <c r="C86" s="6">
        <f>SIN(C85)</f>
        <v>-0.78801075360672201</v>
      </c>
      <c r="D86" s="6">
        <f t="shared" ref="D86:N86" si="11">SIN(D85)</f>
        <v>-0.78801075360672201</v>
      </c>
      <c r="E86" s="6">
        <f t="shared" si="11"/>
        <v>-0.78801075360672201</v>
      </c>
      <c r="F86" s="6">
        <f t="shared" si="11"/>
        <v>-0.78801075360672201</v>
      </c>
      <c r="G86" s="6">
        <f t="shared" si="11"/>
        <v>-0.78801075360672201</v>
      </c>
      <c r="H86" s="6">
        <f t="shared" si="11"/>
        <v>-0.78801075360672201</v>
      </c>
      <c r="I86" s="6">
        <f t="shared" si="11"/>
        <v>-0.78801075360672201</v>
      </c>
      <c r="J86" s="6">
        <f t="shared" si="11"/>
        <v>-0.78801075360672201</v>
      </c>
      <c r="K86" s="6">
        <f t="shared" si="11"/>
        <v>-0.78801075360672201</v>
      </c>
      <c r="L86" s="6">
        <f t="shared" si="11"/>
        <v>-0.78801075360672201</v>
      </c>
      <c r="M86" s="6">
        <f t="shared" si="11"/>
        <v>-0.78801075360672201</v>
      </c>
      <c r="N86" s="180">
        <f t="shared" si="11"/>
        <v>-0.78801075360672201</v>
      </c>
    </row>
    <row r="87" spans="2:14" ht="13">
      <c r="B87" s="25" t="s">
        <v>25</v>
      </c>
      <c r="C87" s="6">
        <f>COS(C85)</f>
        <v>0.61566147532565829</v>
      </c>
      <c r="D87" s="6">
        <f t="shared" ref="D87:N87" si="12">COS(D85)</f>
        <v>0.61566147532565829</v>
      </c>
      <c r="E87" s="6">
        <f t="shared" si="12"/>
        <v>0.61566147532565829</v>
      </c>
      <c r="F87" s="6">
        <f t="shared" si="12"/>
        <v>0.61566147532565829</v>
      </c>
      <c r="G87" s="6">
        <f t="shared" si="12"/>
        <v>0.61566147532565829</v>
      </c>
      <c r="H87" s="6">
        <f t="shared" si="12"/>
        <v>0.61566147532565829</v>
      </c>
      <c r="I87" s="6">
        <f t="shared" si="12"/>
        <v>0.61566147532565829</v>
      </c>
      <c r="J87" s="6">
        <f t="shared" si="12"/>
        <v>0.61566147532565829</v>
      </c>
      <c r="K87" s="6">
        <f t="shared" si="12"/>
        <v>0.61566147532565829</v>
      </c>
      <c r="L87" s="6">
        <f t="shared" si="12"/>
        <v>0.61566147532565829</v>
      </c>
      <c r="M87" s="6">
        <f t="shared" si="12"/>
        <v>0.61566147532565829</v>
      </c>
      <c r="N87" s="180">
        <f t="shared" si="12"/>
        <v>0.61566147532565829</v>
      </c>
    </row>
    <row r="88" spans="2:14" ht="13">
      <c r="B88" s="25" t="s">
        <v>26</v>
      </c>
      <c r="C88" s="6">
        <f>TAN(C85)</f>
        <v>-1.2799416321930788</v>
      </c>
      <c r="D88" s="6">
        <f t="shared" ref="D88:N88" si="13">TAN(D85)</f>
        <v>-1.2799416321930788</v>
      </c>
      <c r="E88" s="6">
        <f t="shared" si="13"/>
        <v>-1.2799416321930788</v>
      </c>
      <c r="F88" s="6">
        <f t="shared" si="13"/>
        <v>-1.2799416321930788</v>
      </c>
      <c r="G88" s="6">
        <f t="shared" si="13"/>
        <v>-1.2799416321930788</v>
      </c>
      <c r="H88" s="6">
        <f t="shared" si="13"/>
        <v>-1.2799416321930788</v>
      </c>
      <c r="I88" s="6">
        <f t="shared" si="13"/>
        <v>-1.2799416321930788</v>
      </c>
      <c r="J88" s="6">
        <f t="shared" si="13"/>
        <v>-1.2799416321930788</v>
      </c>
      <c r="K88" s="6">
        <f t="shared" si="13"/>
        <v>-1.2799416321930788</v>
      </c>
      <c r="L88" s="6">
        <f t="shared" si="13"/>
        <v>-1.2799416321930788</v>
      </c>
      <c r="M88" s="6">
        <f t="shared" si="13"/>
        <v>-1.2799416321930788</v>
      </c>
      <c r="N88" s="180">
        <f t="shared" si="13"/>
        <v>-1.2799416321930788</v>
      </c>
    </row>
    <row r="89" spans="2:14" ht="13">
      <c r="B89" s="170" t="s">
        <v>37</v>
      </c>
      <c r="C89" s="6">
        <f>COS(37.5*C75)</f>
        <v>0.79335334029123517</v>
      </c>
      <c r="D89" s="6">
        <f t="shared" ref="D89:N89" si="14">COS(37.5*D75)</f>
        <v>0.79335334029123517</v>
      </c>
      <c r="E89" s="6">
        <f t="shared" si="14"/>
        <v>0.79335334029123517</v>
      </c>
      <c r="F89" s="6">
        <f t="shared" si="14"/>
        <v>0.79335334029123517</v>
      </c>
      <c r="G89" s="6">
        <f t="shared" si="14"/>
        <v>0.79335334029123517</v>
      </c>
      <c r="H89" s="6">
        <f t="shared" si="14"/>
        <v>0.79335334029123517</v>
      </c>
      <c r="I89" s="6">
        <f t="shared" si="14"/>
        <v>0.79335334029123517</v>
      </c>
      <c r="J89" s="6">
        <f t="shared" si="14"/>
        <v>0.79335334029123517</v>
      </c>
      <c r="K89" s="6">
        <f t="shared" si="14"/>
        <v>0.79335334029123517</v>
      </c>
      <c r="L89" s="6">
        <f t="shared" si="14"/>
        <v>0.79335334029123517</v>
      </c>
      <c r="M89" s="6">
        <f t="shared" si="14"/>
        <v>0.79335334029123517</v>
      </c>
      <c r="N89" s="180">
        <f t="shared" si="14"/>
        <v>0.79335334029123517</v>
      </c>
    </row>
    <row r="90" spans="2:14" ht="13">
      <c r="B90" s="170" t="s">
        <v>38</v>
      </c>
      <c r="C90" s="6">
        <f>23.45*C75</f>
        <v>0.40927970959267029</v>
      </c>
      <c r="D90" s="6">
        <f t="shared" ref="D90:N90" si="15">23.45*D75</f>
        <v>0.40927970959267029</v>
      </c>
      <c r="E90" s="6">
        <f t="shared" si="15"/>
        <v>0.40927970959267029</v>
      </c>
      <c r="F90" s="6">
        <f t="shared" si="15"/>
        <v>0.40927970959267029</v>
      </c>
      <c r="G90" s="6">
        <f t="shared" si="15"/>
        <v>0.40927970959267029</v>
      </c>
      <c r="H90" s="6">
        <f t="shared" si="15"/>
        <v>0.40927970959267029</v>
      </c>
      <c r="I90" s="6">
        <f t="shared" si="15"/>
        <v>0.40927970959267029</v>
      </c>
      <c r="J90" s="6">
        <f t="shared" si="15"/>
        <v>0.40927970959267029</v>
      </c>
      <c r="K90" s="6">
        <f t="shared" si="15"/>
        <v>0.40927970959267029</v>
      </c>
      <c r="L90" s="6">
        <f t="shared" si="15"/>
        <v>0.40927970959267029</v>
      </c>
      <c r="M90" s="6">
        <f t="shared" si="15"/>
        <v>0.40927970959267029</v>
      </c>
      <c r="N90" s="180">
        <f t="shared" si="15"/>
        <v>0.40927970959267029</v>
      </c>
    </row>
    <row r="91" spans="2:14">
      <c r="B91" s="10" t="s">
        <v>15</v>
      </c>
      <c r="C91" s="1">
        <v>31</v>
      </c>
      <c r="D91" s="1">
        <v>28</v>
      </c>
      <c r="E91" s="1">
        <v>31</v>
      </c>
      <c r="F91" s="1">
        <v>30</v>
      </c>
      <c r="G91" s="1">
        <v>31</v>
      </c>
      <c r="H91" s="1">
        <v>30</v>
      </c>
      <c r="I91" s="1">
        <v>31</v>
      </c>
      <c r="J91" s="1">
        <v>31</v>
      </c>
      <c r="K91" s="1">
        <v>30</v>
      </c>
      <c r="L91" s="1">
        <v>31</v>
      </c>
      <c r="M91" s="1">
        <v>30</v>
      </c>
      <c r="N91" s="2">
        <v>31</v>
      </c>
    </row>
    <row r="92" spans="2:14" ht="13">
      <c r="B92" s="170" t="s">
        <v>27</v>
      </c>
      <c r="C92" s="6">
        <f>1353*3.6</f>
        <v>4870.8</v>
      </c>
      <c r="D92" s="6">
        <f t="shared" ref="D92:N92" si="16">1353*3.6</f>
        <v>4870.8</v>
      </c>
      <c r="E92" s="6">
        <f t="shared" si="16"/>
        <v>4870.8</v>
      </c>
      <c r="F92" s="6">
        <f t="shared" si="16"/>
        <v>4870.8</v>
      </c>
      <c r="G92" s="6">
        <f t="shared" si="16"/>
        <v>4870.8</v>
      </c>
      <c r="H92" s="6">
        <f t="shared" si="16"/>
        <v>4870.8</v>
      </c>
      <c r="I92" s="6">
        <f t="shared" si="16"/>
        <v>4870.8</v>
      </c>
      <c r="J92" s="6">
        <f t="shared" si="16"/>
        <v>4870.8</v>
      </c>
      <c r="K92" s="6">
        <f t="shared" si="16"/>
        <v>4870.8</v>
      </c>
      <c r="L92" s="6">
        <f t="shared" si="16"/>
        <v>4870.8</v>
      </c>
      <c r="M92" s="6">
        <f t="shared" si="16"/>
        <v>4870.8</v>
      </c>
      <c r="N92" s="180">
        <f t="shared" si="16"/>
        <v>4870.8</v>
      </c>
    </row>
    <row r="93" spans="2:14" ht="13.5" thickBot="1">
      <c r="B93" s="25" t="s">
        <v>28</v>
      </c>
      <c r="C93" s="6">
        <f>(24*C92)/PI()</f>
        <v>37210.171046976189</v>
      </c>
      <c r="D93" s="6">
        <f t="shared" ref="D93:N93" si="17">(24*D92)/PI()</f>
        <v>37210.171046976189</v>
      </c>
      <c r="E93" s="6">
        <f t="shared" si="17"/>
        <v>37210.171046976189</v>
      </c>
      <c r="F93" s="6">
        <f t="shared" si="17"/>
        <v>37210.171046976189</v>
      </c>
      <c r="G93" s="6">
        <f t="shared" si="17"/>
        <v>37210.171046976189</v>
      </c>
      <c r="H93" s="6">
        <f t="shared" si="17"/>
        <v>37210.171046976189</v>
      </c>
      <c r="I93" s="6">
        <f t="shared" si="17"/>
        <v>37210.171046976189</v>
      </c>
      <c r="J93" s="6">
        <f t="shared" si="17"/>
        <v>37210.171046976189</v>
      </c>
      <c r="K93" s="6">
        <f t="shared" si="17"/>
        <v>37210.171046976189</v>
      </c>
      <c r="L93" s="6">
        <f t="shared" si="17"/>
        <v>37210.171046976189</v>
      </c>
      <c r="M93" s="6">
        <f t="shared" si="17"/>
        <v>37210.171046976189</v>
      </c>
      <c r="N93" s="181">
        <f t="shared" si="17"/>
        <v>37210.171046976189</v>
      </c>
    </row>
    <row r="94" spans="2:14" ht="13">
      <c r="B94" s="23" t="s">
        <v>15</v>
      </c>
      <c r="C94" s="24">
        <v>15</v>
      </c>
      <c r="D94" s="24">
        <v>46</v>
      </c>
      <c r="E94" s="24">
        <v>74</v>
      </c>
      <c r="F94" s="24">
        <v>105</v>
      </c>
      <c r="G94" s="24">
        <v>135</v>
      </c>
      <c r="H94" s="24">
        <v>166</v>
      </c>
      <c r="I94" s="24">
        <v>196</v>
      </c>
      <c r="J94" s="24">
        <v>227</v>
      </c>
      <c r="K94" s="24">
        <v>258</v>
      </c>
      <c r="L94" s="24">
        <v>270</v>
      </c>
      <c r="M94" s="24">
        <v>319</v>
      </c>
      <c r="N94" s="26">
        <v>349</v>
      </c>
    </row>
    <row r="95" spans="2:14" ht="13">
      <c r="B95" s="170" t="s">
        <v>39</v>
      </c>
      <c r="C95" s="6">
        <f>(360*C75)/365</f>
        <v>1.7214206321039961E-2</v>
      </c>
      <c r="D95" s="6">
        <f t="shared" ref="D95:N95" si="18">(360*D75)/365</f>
        <v>1.7214206321039961E-2</v>
      </c>
      <c r="E95" s="6">
        <f t="shared" si="18"/>
        <v>1.7214206321039961E-2</v>
      </c>
      <c r="F95" s="6">
        <f t="shared" si="18"/>
        <v>1.7214206321039961E-2</v>
      </c>
      <c r="G95" s="6">
        <f t="shared" si="18"/>
        <v>1.7214206321039961E-2</v>
      </c>
      <c r="H95" s="6">
        <f t="shared" si="18"/>
        <v>1.7214206321039961E-2</v>
      </c>
      <c r="I95" s="6">
        <f t="shared" si="18"/>
        <v>1.7214206321039961E-2</v>
      </c>
      <c r="J95" s="6">
        <f t="shared" si="18"/>
        <v>1.7214206321039961E-2</v>
      </c>
      <c r="K95" s="6">
        <f t="shared" si="18"/>
        <v>1.7214206321039961E-2</v>
      </c>
      <c r="L95" s="6">
        <f t="shared" si="18"/>
        <v>1.7214206321039961E-2</v>
      </c>
      <c r="M95" s="6">
        <f t="shared" si="18"/>
        <v>1.7214206321039961E-2</v>
      </c>
      <c r="N95" s="180">
        <f t="shared" si="18"/>
        <v>1.7214206321039961E-2</v>
      </c>
    </row>
    <row r="96" spans="2:14" ht="13">
      <c r="B96" s="170" t="s">
        <v>40</v>
      </c>
      <c r="C96" s="6">
        <f>C90*SIN(C95*(284+C94))</f>
        <v>-0.37122234990040354</v>
      </c>
      <c r="D96" s="6">
        <f t="shared" ref="D96:N96" si="19">D90*SIN(D95*(284+D94))</f>
        <v>-0.23193953024048489</v>
      </c>
      <c r="E96" s="6">
        <f t="shared" si="19"/>
        <v>-4.9198713707110125E-2</v>
      </c>
      <c r="F96" s="6">
        <f t="shared" si="19"/>
        <v>0.16432088762716554</v>
      </c>
      <c r="G96" s="6">
        <f t="shared" si="19"/>
        <v>0.32798083344699769</v>
      </c>
      <c r="H96" s="6">
        <f t="shared" si="19"/>
        <v>0.40691321620538912</v>
      </c>
      <c r="I96" s="6">
        <f t="shared" si="19"/>
        <v>0.37554836000057829</v>
      </c>
      <c r="J96" s="6">
        <f t="shared" si="19"/>
        <v>0.24056857736111795</v>
      </c>
      <c r="K96" s="6">
        <f t="shared" si="19"/>
        <v>3.8691973511018649E-2</v>
      </c>
      <c r="L96" s="6">
        <f t="shared" si="19"/>
        <v>-4.5699766008172903E-2</v>
      </c>
      <c r="M96" s="6">
        <f t="shared" si="19"/>
        <v>-0.33419245656714902</v>
      </c>
      <c r="N96" s="180">
        <f t="shared" si="19"/>
        <v>-0.40727641274141724</v>
      </c>
    </row>
    <row r="97" spans="2:14" ht="13">
      <c r="B97" s="25" t="s">
        <v>42</v>
      </c>
      <c r="C97" s="6">
        <f>SIN(C96)</f>
        <v>-0.36275479176733588</v>
      </c>
      <c r="D97" s="6">
        <f t="shared" ref="D97:N97" si="20">SIN(D96)</f>
        <v>-0.22986554896822295</v>
      </c>
      <c r="E97" s="6">
        <f t="shared" si="20"/>
        <v>-4.9178868417837161E-2</v>
      </c>
      <c r="F97" s="6">
        <f t="shared" si="20"/>
        <v>0.16358240425600395</v>
      </c>
      <c r="G97" s="6">
        <f t="shared" si="20"/>
        <v>0.32213215206816698</v>
      </c>
      <c r="H97" s="6">
        <f t="shared" si="20"/>
        <v>0.39577647976650848</v>
      </c>
      <c r="I97" s="6">
        <f t="shared" si="20"/>
        <v>0.36678272715173194</v>
      </c>
      <c r="J97" s="6">
        <f t="shared" si="20"/>
        <v>0.23825486875759558</v>
      </c>
      <c r="K97" s="6">
        <f t="shared" si="20"/>
        <v>3.868232014248444E-2</v>
      </c>
      <c r="L97" s="6">
        <f t="shared" si="20"/>
        <v>-4.5683860581339865E-2</v>
      </c>
      <c r="M97" s="6">
        <f t="shared" si="20"/>
        <v>-0.32800641041381234</v>
      </c>
      <c r="N97" s="180">
        <f t="shared" si="20"/>
        <v>-0.3961099940583282</v>
      </c>
    </row>
    <row r="98" spans="2:14" ht="13">
      <c r="B98" s="25" t="s">
        <v>43</v>
      </c>
      <c r="C98" s="6">
        <f>COS(C96)</f>
        <v>0.93188462861549382</v>
      </c>
      <c r="D98" s="6">
        <f t="shared" ref="D98:N98" si="21">COS(D96)</f>
        <v>0.97322239462393045</v>
      </c>
      <c r="E98" s="6">
        <f t="shared" si="21"/>
        <v>0.99878998738530667</v>
      </c>
      <c r="F98" s="6">
        <f t="shared" si="21"/>
        <v>0.9865296736631014</v>
      </c>
      <c r="G98" s="6">
        <f t="shared" si="21"/>
        <v>0.94669471140591643</v>
      </c>
      <c r="H98" s="6">
        <f t="shared" si="21"/>
        <v>0.91834687240912982</v>
      </c>
      <c r="I98" s="6">
        <f t="shared" si="21"/>
        <v>0.93030663281691062</v>
      </c>
      <c r="J98" s="6">
        <f t="shared" si="21"/>
        <v>0.97120266552007617</v>
      </c>
      <c r="K98" s="6">
        <f t="shared" si="21"/>
        <v>0.99925155897221118</v>
      </c>
      <c r="L98" s="6">
        <f t="shared" si="21"/>
        <v>0.99895594741829563</v>
      </c>
      <c r="M98" s="6">
        <f t="shared" si="21"/>
        <v>0.94467549705041343</v>
      </c>
      <c r="N98" s="180">
        <f t="shared" si="21"/>
        <v>0.91820306719543865</v>
      </c>
    </row>
    <row r="99" spans="2:14" ht="13">
      <c r="B99" s="170" t="s">
        <v>44</v>
      </c>
      <c r="C99" s="6">
        <f>-C84*TAN(C96)</f>
        <v>-0.25279493727939895</v>
      </c>
      <c r="D99" s="6">
        <f t="shared" ref="D99:N99" si="22">-D84*TAN(D96)</f>
        <v>-0.15338368058429347</v>
      </c>
      <c r="E99" s="6">
        <f t="shared" si="22"/>
        <v>-3.1975821723054777E-2</v>
      </c>
      <c r="F99" s="6">
        <f t="shared" si="22"/>
        <v>0.10768216939983473</v>
      </c>
      <c r="G99" s="6">
        <f t="shared" si="22"/>
        <v>0.22097415676427687</v>
      </c>
      <c r="H99" s="6">
        <f t="shared" si="22"/>
        <v>0.27987273533703205</v>
      </c>
      <c r="I99" s="6">
        <f t="shared" si="22"/>
        <v>0.25603546149595474</v>
      </c>
      <c r="J99" s="6">
        <f t="shared" si="22"/>
        <v>0.15931229019496604</v>
      </c>
      <c r="K99" s="6">
        <f t="shared" si="22"/>
        <v>2.5139407787228688E-2</v>
      </c>
      <c r="L99" s="6">
        <f t="shared" si="22"/>
        <v>-2.9698452694306664E-2</v>
      </c>
      <c r="M99" s="6">
        <f t="shared" si="22"/>
        <v>-0.2254846814649849</v>
      </c>
      <c r="N99" s="180">
        <f t="shared" si="22"/>
        <v>-0.2801524489224414</v>
      </c>
    </row>
    <row r="100" spans="2:14" ht="13">
      <c r="B100" s="170" t="s">
        <v>44</v>
      </c>
      <c r="C100" s="6">
        <f>ATAN(SQRT(1-C99^2)/C99)/C75</f>
        <v>-75.357035975139581</v>
      </c>
      <c r="D100" s="6">
        <f t="shared" ref="D100:N100" si="23">ATAN(SQRT(1-D99^2)/D99)/D75</f>
        <v>-81.176932953233873</v>
      </c>
      <c r="E100" s="6">
        <f t="shared" si="23"/>
        <v>-88.167608022467178</v>
      </c>
      <c r="F100" s="6">
        <f t="shared" si="23"/>
        <v>83.818280042663901</v>
      </c>
      <c r="G100" s="6">
        <f t="shared" si="23"/>
        <v>77.233743659218291</v>
      </c>
      <c r="H100" s="6">
        <f t="shared" si="23"/>
        <v>73.747390694945281</v>
      </c>
      <c r="I100" s="6">
        <f t="shared" si="23"/>
        <v>75.165050235055276</v>
      </c>
      <c r="J100" s="6">
        <f t="shared" si="23"/>
        <v>80.833018649384044</v>
      </c>
      <c r="K100" s="6">
        <f t="shared" si="23"/>
        <v>88.559466273378604</v>
      </c>
      <c r="L100" s="6">
        <f t="shared" si="23"/>
        <v>-88.298153769146509</v>
      </c>
      <c r="M100" s="6">
        <f t="shared" si="23"/>
        <v>-76.968619195469273</v>
      </c>
      <c r="N100" s="180">
        <f t="shared" si="23"/>
        <v>-73.730696456088936</v>
      </c>
    </row>
    <row r="101" spans="2:14" ht="13">
      <c r="B101" s="170" t="s">
        <v>44</v>
      </c>
      <c r="C101" s="6">
        <f>IF(C100&lt;0,C100+180,C100)</f>
        <v>104.64296402486042</v>
      </c>
      <c r="D101" s="6">
        <f t="shared" ref="D101:N101" si="24">IF(D100&lt;0,D100+180,D100)</f>
        <v>98.823067046766127</v>
      </c>
      <c r="E101" s="6">
        <f t="shared" si="24"/>
        <v>91.832391977532822</v>
      </c>
      <c r="F101" s="6">
        <f t="shared" si="24"/>
        <v>83.818280042663901</v>
      </c>
      <c r="G101" s="6">
        <f t="shared" si="24"/>
        <v>77.233743659218291</v>
      </c>
      <c r="H101" s="6">
        <f t="shared" si="24"/>
        <v>73.747390694945281</v>
      </c>
      <c r="I101" s="6">
        <f t="shared" si="24"/>
        <v>75.165050235055276</v>
      </c>
      <c r="J101" s="6">
        <f t="shared" si="24"/>
        <v>80.833018649384044</v>
      </c>
      <c r="K101" s="6">
        <f t="shared" si="24"/>
        <v>88.559466273378604</v>
      </c>
      <c r="L101" s="6">
        <f t="shared" si="24"/>
        <v>91.701846230853491</v>
      </c>
      <c r="M101" s="6">
        <f t="shared" si="24"/>
        <v>103.03138080453073</v>
      </c>
      <c r="N101" s="180">
        <f t="shared" si="24"/>
        <v>106.26930354391106</v>
      </c>
    </row>
    <row r="102" spans="2:14" ht="13">
      <c r="B102" s="170" t="s">
        <v>52</v>
      </c>
      <c r="C102" s="6">
        <f>C101*C75</f>
        <v>1.8263642612797917</v>
      </c>
      <c r="D102" s="6">
        <f t="shared" ref="D102:N102" si="25">D101*D75</f>
        <v>1.724787896885178</v>
      </c>
      <c r="E102" s="6">
        <f t="shared" si="25"/>
        <v>1.6027775999899743</v>
      </c>
      <c r="F102" s="6">
        <f t="shared" si="25"/>
        <v>1.4629049601031383</v>
      </c>
      <c r="G102" s="6">
        <f t="shared" si="25"/>
        <v>1.3479831204946526</v>
      </c>
      <c r="H102" s="6">
        <f t="shared" si="25"/>
        <v>1.2871347823814243</v>
      </c>
      <c r="I102" s="6">
        <f t="shared" si="25"/>
        <v>1.3118776090286524</v>
      </c>
      <c r="J102" s="6">
        <f t="shared" si="25"/>
        <v>1.4108023197577315</v>
      </c>
      <c r="K102" s="6">
        <f t="shared" si="25"/>
        <v>1.5456542702793294</v>
      </c>
      <c r="L102" s="6">
        <f t="shared" si="25"/>
        <v>1.6004991468859455</v>
      </c>
      <c r="M102" s="6">
        <f t="shared" si="25"/>
        <v>1.7982368279151453</v>
      </c>
      <c r="N102" s="180">
        <f t="shared" si="25"/>
        <v>1.8547492406425266</v>
      </c>
    </row>
    <row r="103" spans="2:14" ht="13">
      <c r="B103" s="25" t="s">
        <v>45</v>
      </c>
      <c r="C103" s="6">
        <f>C88*TAN(C96)</f>
        <v>0.49824296485109404</v>
      </c>
      <c r="D103" s="6">
        <f>D88*TAN(D96)</f>
        <v>0.30230961346202351</v>
      </c>
      <c r="E103" s="6">
        <f t="shared" ref="E103:N103" si="26">-E88*TAN(E96)</f>
        <v>-6.3022338937256714E-2</v>
      </c>
      <c r="F103" s="6">
        <f t="shared" si="26"/>
        <v>0.2122348015382651</v>
      </c>
      <c r="G103" s="6">
        <f t="shared" si="26"/>
        <v>0.43552620240973494</v>
      </c>
      <c r="H103" s="6">
        <f t="shared" si="26"/>
        <v>0.55161160637164464</v>
      </c>
      <c r="I103" s="6">
        <f t="shared" si="26"/>
        <v>0.5046298348205035</v>
      </c>
      <c r="J103" s="6">
        <f t="shared" si="26"/>
        <v>0.31399453113346182</v>
      </c>
      <c r="K103" s="6">
        <f t="shared" si="26"/>
        <v>4.9548195882838382E-2</v>
      </c>
      <c r="L103" s="6">
        <f t="shared" si="26"/>
        <v>-5.8533787429243637E-2</v>
      </c>
      <c r="M103" s="6">
        <f t="shared" si="26"/>
        <v>-0.44441616367280806</v>
      </c>
      <c r="N103" s="180">
        <f t="shared" si="26"/>
        <v>-0.55216290430349146</v>
      </c>
    </row>
    <row r="104" spans="2:14" ht="13">
      <c r="B104" s="25" t="s">
        <v>45</v>
      </c>
      <c r="C104" s="6">
        <f>ATAN(SQRT(1+C103^2)/C103)/C75</f>
        <v>65.965277314074299</v>
      </c>
      <c r="D104" s="6">
        <f t="shared" ref="D104:N104" si="27">ATAN(SQRT(1+D103^2)/D103)/D75</f>
        <v>73.860852134133282</v>
      </c>
      <c r="E104" s="6">
        <f t="shared" si="27"/>
        <v>-86.400976653018546</v>
      </c>
      <c r="F104" s="6">
        <f t="shared" si="27"/>
        <v>78.27140727849158</v>
      </c>
      <c r="G104" s="6">
        <f t="shared" si="27"/>
        <v>68.233204018233081</v>
      </c>
      <c r="H104" s="6">
        <f t="shared" si="27"/>
        <v>64.219373727503651</v>
      </c>
      <c r="I104" s="6">
        <f t="shared" si="27"/>
        <v>65.747614740070489</v>
      </c>
      <c r="J104" s="6">
        <f t="shared" si="27"/>
        <v>73.323164187383171</v>
      </c>
      <c r="K104" s="6">
        <f t="shared" si="27"/>
        <v>87.166887143286147</v>
      </c>
      <c r="L104" s="6">
        <f t="shared" si="27"/>
        <v>-86.655794407280851</v>
      </c>
      <c r="M104" s="6">
        <f t="shared" si="27"/>
        <v>-67.897098448353489</v>
      </c>
      <c r="N104" s="6">
        <f t="shared" si="27"/>
        <v>-64.202187730004937</v>
      </c>
    </row>
    <row r="105" spans="2:14" ht="13">
      <c r="B105" s="25" t="s">
        <v>45</v>
      </c>
      <c r="C105" s="6">
        <f>IF(C104&lt;0,C104+180,C104)</f>
        <v>65.965277314074299</v>
      </c>
      <c r="D105" s="6">
        <f t="shared" ref="D105:N105" si="28">IF(D104&lt;0,D104+180,D104)</f>
        <v>73.860852134133282</v>
      </c>
      <c r="E105" s="6">
        <f t="shared" si="28"/>
        <v>93.599023346981454</v>
      </c>
      <c r="F105" s="6">
        <f t="shared" si="28"/>
        <v>78.27140727849158</v>
      </c>
      <c r="G105" s="6">
        <f t="shared" si="28"/>
        <v>68.233204018233081</v>
      </c>
      <c r="H105" s="6">
        <f t="shared" si="28"/>
        <v>64.219373727503651</v>
      </c>
      <c r="I105" s="6">
        <f t="shared" si="28"/>
        <v>65.747614740070489</v>
      </c>
      <c r="J105" s="6">
        <f t="shared" si="28"/>
        <v>73.323164187383171</v>
      </c>
      <c r="K105" s="6">
        <f t="shared" si="28"/>
        <v>87.166887143286147</v>
      </c>
      <c r="L105" s="6">
        <f t="shared" si="28"/>
        <v>93.344205592719149</v>
      </c>
      <c r="M105" s="6">
        <f t="shared" si="28"/>
        <v>112.10290155164651</v>
      </c>
      <c r="N105" s="180">
        <f t="shared" si="28"/>
        <v>115.79781226999506</v>
      </c>
    </row>
    <row r="106" spans="2:14" ht="13">
      <c r="B106" s="25" t="s">
        <v>46</v>
      </c>
      <c r="C106" s="6">
        <f>C105*C75</f>
        <v>1.1513112811217181</v>
      </c>
      <c r="D106" s="6">
        <f t="shared" ref="D106:N106" si="29">D105*D75</f>
        <v>1.2891150580693063</v>
      </c>
      <c r="E106" s="6">
        <f t="shared" si="29"/>
        <v>1.6336111340558692</v>
      </c>
      <c r="F106" s="6">
        <f t="shared" si="29"/>
        <v>1.3660937671791322</v>
      </c>
      <c r="G106" s="6">
        <f t="shared" si="29"/>
        <v>1.1908940693031922</v>
      </c>
      <c r="H106" s="6">
        <f t="shared" si="29"/>
        <v>1.1208395151136825</v>
      </c>
      <c r="I106" s="6">
        <f t="shared" si="29"/>
        <v>1.1475123525469859</v>
      </c>
      <c r="J106" s="6">
        <f t="shared" si="29"/>
        <v>1.2797306330502287</v>
      </c>
      <c r="K106" s="6">
        <f t="shared" si="29"/>
        <v>1.5213491793646574</v>
      </c>
      <c r="L106" s="6">
        <f t="shared" si="29"/>
        <v>1.6291637252514541</v>
      </c>
      <c r="M106" s="6">
        <f t="shared" si="29"/>
        <v>1.9565647331152918</v>
      </c>
      <c r="N106" s="180">
        <f t="shared" si="29"/>
        <v>2.0210530907177029</v>
      </c>
    </row>
    <row r="107" spans="2:14" ht="13">
      <c r="B107" s="170" t="s">
        <v>47</v>
      </c>
      <c r="C107" s="6">
        <f>C102*C82*C97+C83*C98*SIN(C102)</f>
        <v>1.1169951152829716</v>
      </c>
      <c r="D107" s="6">
        <f t="shared" ref="D107:N107" si="30">D102*D82*D97+D83*D98*SIN(D102)</f>
        <v>1.0224871595686147</v>
      </c>
      <c r="E107" s="6">
        <f t="shared" si="30"/>
        <v>0.88015739213312139</v>
      </c>
      <c r="F107" s="6">
        <f t="shared" si="30"/>
        <v>0.69222740934784766</v>
      </c>
      <c r="G107" s="6">
        <f t="shared" si="30"/>
        <v>0.53784000745338212</v>
      </c>
      <c r="H107" s="6">
        <f t="shared" si="30"/>
        <v>0.4619627049485312</v>
      </c>
      <c r="I107" s="6">
        <f t="shared" si="30"/>
        <v>0.49214782785352545</v>
      </c>
      <c r="J107" s="6">
        <f t="shared" si="30"/>
        <v>0.6210464443360949</v>
      </c>
      <c r="K107" s="6">
        <f t="shared" si="30"/>
        <v>0.8052143214044124</v>
      </c>
      <c r="L107" s="6">
        <f t="shared" si="30"/>
        <v>0.87724776486471778</v>
      </c>
      <c r="M107" s="6">
        <f t="shared" si="30"/>
        <v>1.0931141283331729</v>
      </c>
      <c r="N107" s="180">
        <f t="shared" si="30"/>
        <v>1.1393708135012601</v>
      </c>
    </row>
    <row r="108" spans="2:14" ht="13">
      <c r="B108" s="170" t="s">
        <v>47</v>
      </c>
      <c r="C108" s="6">
        <f>C93*(1+0.033*COS(C95*C94))*C107</f>
        <v>42889.705938732419</v>
      </c>
      <c r="D108" s="6">
        <f t="shared" ref="D108:N108" si="31">D93*(1+0.033*COS(D95*D94))*D107</f>
        <v>38928.979367638691</v>
      </c>
      <c r="E108" s="6">
        <f t="shared" si="31"/>
        <v>33067.042715566859</v>
      </c>
      <c r="F108" s="6">
        <f t="shared" si="31"/>
        <v>25558.580112683896</v>
      </c>
      <c r="G108" s="6">
        <f t="shared" si="31"/>
        <v>19561.435775166199</v>
      </c>
      <c r="H108" s="6">
        <f t="shared" si="31"/>
        <v>16645.179397969245</v>
      </c>
      <c r="I108" s="6">
        <f t="shared" si="31"/>
        <v>17724.824278593533</v>
      </c>
      <c r="J108" s="6">
        <f t="shared" si="31"/>
        <v>22559.660002769513</v>
      </c>
      <c r="K108" s="6">
        <f t="shared" si="31"/>
        <v>29697.36086866746</v>
      </c>
      <c r="L108" s="6">
        <f t="shared" si="31"/>
        <v>32573.050634341915</v>
      </c>
      <c r="M108" s="6">
        <f t="shared" si="31"/>
        <v>41617.947912724703</v>
      </c>
      <c r="N108" s="180">
        <f t="shared" si="31"/>
        <v>43742.524499511528</v>
      </c>
    </row>
    <row r="109" spans="2:14" ht="13">
      <c r="B109" s="170" t="s">
        <v>53</v>
      </c>
      <c r="C109" s="6">
        <f>VLOOKUP('Inclination angle'!$P$12,$A$3:$O$71,3,FALSE)*86.01</f>
        <v>15739.830000000002</v>
      </c>
      <c r="D109" s="6">
        <f>VLOOKUP('Inclination angle'!$P$12,$A$3:$O$71,4,FALSE)*86.01</f>
        <v>13417.560000000001</v>
      </c>
      <c r="E109" s="6">
        <f>VLOOKUP('Inclination angle'!$P$12,$A$3:$O$71,5,FALSE)*86.01</f>
        <v>10837.26</v>
      </c>
      <c r="F109" s="6">
        <f>VLOOKUP('Inclination angle'!$P$12,$A$3:$O$71,6,FALSE)*86.01</f>
        <v>7224.84</v>
      </c>
      <c r="G109" s="6">
        <f>VLOOKUP('Inclination angle'!$P$12,$A$3:$O$71,7,FALSE)*86.01</f>
        <v>4902.5700000000006</v>
      </c>
      <c r="H109" s="6">
        <f>VLOOKUP('Inclination angle'!$P$12,$A$3:$O$71,8,FALSE)*86.01</f>
        <v>3870.4500000000003</v>
      </c>
      <c r="I109" s="6">
        <f>VLOOKUP('Inclination angle'!$P$12,$A$3:$O$71,9,FALSE)*86.01</f>
        <v>4644.54</v>
      </c>
      <c r="J109" s="6">
        <f>VLOOKUP('Inclination angle'!$P$12,$A$3:$O$71,10,FALSE)*86.01</f>
        <v>6708.7800000000007</v>
      </c>
      <c r="K109" s="6">
        <f>VLOOKUP('Inclination angle'!$P$12,$A$3:$O$71,11,FALSE)*86.01</f>
        <v>9289.08</v>
      </c>
      <c r="L109" s="6">
        <f>VLOOKUP('Inclination angle'!$P$12,$A$3:$O$71,12,FALSE)*86.01</f>
        <v>11611.35</v>
      </c>
      <c r="M109" s="6">
        <f>VLOOKUP('Inclination angle'!$P$12,$A$3:$O$71,13,FALSE)*86.01</f>
        <v>14449.68</v>
      </c>
      <c r="N109" s="180">
        <f>VLOOKUP('Inclination angle'!$P$12,$A$3:$O$71,14,FALSE)*86.01</f>
        <v>15739.830000000002</v>
      </c>
    </row>
    <row r="110" spans="2:14" ht="13">
      <c r="B110" s="170" t="s">
        <v>48</v>
      </c>
      <c r="C110" s="6">
        <f>C109/C108</f>
        <v>0.36698386373840414</v>
      </c>
      <c r="D110" s="6">
        <f t="shared" ref="D110:N110" si="32">D109/D108</f>
        <v>0.34466765422455176</v>
      </c>
      <c r="E110" s="6">
        <f t="shared" si="32"/>
        <v>0.32773599058189079</v>
      </c>
      <c r="F110" s="6">
        <f t="shared" si="32"/>
        <v>0.28267767490004447</v>
      </c>
      <c r="G110" s="6">
        <f t="shared" si="32"/>
        <v>0.25062424130563837</v>
      </c>
      <c r="H110" s="6">
        <f t="shared" si="32"/>
        <v>0.23252678192655618</v>
      </c>
      <c r="I110" s="6">
        <f t="shared" si="32"/>
        <v>0.26203588407977974</v>
      </c>
      <c r="J110" s="6">
        <f t="shared" si="32"/>
        <v>0.29737948174646267</v>
      </c>
      <c r="K110" s="6">
        <f t="shared" si="32"/>
        <v>0.31279143089783951</v>
      </c>
      <c r="L110" s="6">
        <f t="shared" si="32"/>
        <v>0.35647106346735918</v>
      </c>
      <c r="M110" s="6">
        <f t="shared" si="32"/>
        <v>0.34719828162363586</v>
      </c>
      <c r="N110" s="180">
        <f t="shared" si="32"/>
        <v>0.35982902633284847</v>
      </c>
    </row>
    <row r="111" spans="2:14" ht="13">
      <c r="B111" s="170" t="s">
        <v>49</v>
      </c>
      <c r="C111" s="6">
        <f>C110</f>
        <v>0.36698386373840414</v>
      </c>
      <c r="D111" s="6">
        <f t="shared" ref="D111:N111" si="33">D110</f>
        <v>0.34466765422455176</v>
      </c>
      <c r="E111" s="6">
        <f t="shared" si="33"/>
        <v>0.32773599058189079</v>
      </c>
      <c r="F111" s="6">
        <f t="shared" si="33"/>
        <v>0.28267767490004447</v>
      </c>
      <c r="G111" s="6">
        <f t="shared" si="33"/>
        <v>0.25062424130563837</v>
      </c>
      <c r="H111" s="6">
        <f t="shared" si="33"/>
        <v>0.23252678192655618</v>
      </c>
      <c r="I111" s="6">
        <f t="shared" si="33"/>
        <v>0.26203588407977974</v>
      </c>
      <c r="J111" s="6">
        <f t="shared" si="33"/>
        <v>0.29737948174646267</v>
      </c>
      <c r="K111" s="6">
        <f t="shared" si="33"/>
        <v>0.31279143089783951</v>
      </c>
      <c r="L111" s="6">
        <f t="shared" si="33"/>
        <v>0.35647106346735918</v>
      </c>
      <c r="M111" s="6">
        <f t="shared" si="33"/>
        <v>0.34719828162363586</v>
      </c>
      <c r="N111" s="180">
        <f t="shared" si="33"/>
        <v>0.35982902633284847</v>
      </c>
    </row>
    <row r="112" spans="2:14" ht="13">
      <c r="B112" s="170" t="s">
        <v>50</v>
      </c>
      <c r="C112" s="6">
        <f>1.39-4.03*C110+5.53*C110^2-3.11*C110^3</f>
        <v>0.50210999595086325</v>
      </c>
      <c r="D112" s="6">
        <f t="shared" ref="D112:N112" si="34">1.39-4.03*D110+5.53*D110^2-3.11*D110^3</f>
        <v>0.53059092440270417</v>
      </c>
      <c r="E112" s="6">
        <f t="shared" si="34"/>
        <v>0.55372662350658697</v>
      </c>
      <c r="F112" s="6">
        <f t="shared" si="34"/>
        <v>0.62244468888591808</v>
      </c>
      <c r="G112" s="6">
        <f t="shared" si="34"/>
        <v>0.67837881927337285</v>
      </c>
      <c r="H112" s="6">
        <f t="shared" si="34"/>
        <v>0.71281677183707282</v>
      </c>
      <c r="I112" s="6">
        <f t="shared" si="34"/>
        <v>0.6577452071613652</v>
      </c>
      <c r="J112" s="6">
        <f t="shared" si="34"/>
        <v>0.59881506823328556</v>
      </c>
      <c r="K112" s="6">
        <f t="shared" si="34"/>
        <v>0.57532187576705285</v>
      </c>
      <c r="L112" s="6">
        <f t="shared" si="34"/>
        <v>0.51525289314036993</v>
      </c>
      <c r="M112" s="6">
        <f t="shared" si="34"/>
        <v>0.52724922107140038</v>
      </c>
      <c r="N112" s="180">
        <f t="shared" si="34"/>
        <v>0.51100291449670276</v>
      </c>
    </row>
    <row r="113" spans="2:15" ht="13">
      <c r="B113" s="170" t="s">
        <v>41</v>
      </c>
      <c r="C113" s="6">
        <f>C83*C98*SIN(C102)+C102*C82*C97</f>
        <v>1.1169951152829716</v>
      </c>
      <c r="D113" s="6">
        <f t="shared" ref="D113:N113" si="35">D83*D98*SIN(D102)+D102*D82*D97</f>
        <v>1.0224871595686147</v>
      </c>
      <c r="E113" s="6">
        <f t="shared" si="35"/>
        <v>0.88015739213312139</v>
      </c>
      <c r="F113" s="6">
        <f t="shared" si="35"/>
        <v>0.69222740934784766</v>
      </c>
      <c r="G113" s="6">
        <f t="shared" si="35"/>
        <v>0.53784000745338212</v>
      </c>
      <c r="H113" s="6">
        <f t="shared" si="35"/>
        <v>0.4619627049485312</v>
      </c>
      <c r="I113" s="6">
        <f t="shared" si="35"/>
        <v>0.49214782785352545</v>
      </c>
      <c r="J113" s="6">
        <f t="shared" si="35"/>
        <v>0.6210464443360949</v>
      </c>
      <c r="K113" s="6">
        <f t="shared" si="35"/>
        <v>0.8052143214044124</v>
      </c>
      <c r="L113" s="6">
        <f t="shared" si="35"/>
        <v>0.87724776486471778</v>
      </c>
      <c r="M113" s="6">
        <f t="shared" si="35"/>
        <v>1.0931141283331729</v>
      </c>
      <c r="N113" s="180">
        <f t="shared" si="35"/>
        <v>1.1393708135012601</v>
      </c>
    </row>
    <row r="114" spans="2:15" ht="13">
      <c r="B114" s="170" t="s">
        <v>41</v>
      </c>
      <c r="C114" s="6">
        <f>(C87*C98*SIN(IF(C105&gt;C101,C102,C106))+IF(C105&gt;C101,C102,C106)*C86*C97)/C113</f>
        <v>0.76373699394545058</v>
      </c>
      <c r="D114" s="6">
        <f t="shared" ref="D114:N114" si="36">(D87*D98*SIN(IF(D105&gt;D101,D102,D106))+IF(D105&gt;D101,D102,D106)*D86*D97)/D113</f>
        <v>0.79127401539289255</v>
      </c>
      <c r="E114" s="6">
        <f t="shared" si="36"/>
        <v>0.76885712291143149</v>
      </c>
      <c r="F114" s="6">
        <f t="shared" si="36"/>
        <v>0.60470224796865435</v>
      </c>
      <c r="G114" s="6">
        <f t="shared" si="36"/>
        <v>0.44434478495992868</v>
      </c>
      <c r="H114" s="6">
        <f t="shared" si="36"/>
        <v>0.34537861243934814</v>
      </c>
      <c r="I114" s="6">
        <f t="shared" si="36"/>
        <v>0.38716310331289028</v>
      </c>
      <c r="J114" s="6">
        <f t="shared" si="36"/>
        <v>0.53541262193195671</v>
      </c>
      <c r="K114" s="6">
        <f t="shared" si="36"/>
        <v>0.70549522552747879</v>
      </c>
      <c r="L114" s="6">
        <f t="shared" si="36"/>
        <v>0.7664475228513058</v>
      </c>
      <c r="M114" s="6">
        <f t="shared" si="36"/>
        <v>0.94355847565575346</v>
      </c>
      <c r="N114" s="180">
        <f t="shared" si="36"/>
        <v>0.98440688568229817</v>
      </c>
    </row>
    <row r="115" spans="2:15" ht="13">
      <c r="B115" s="170" t="s">
        <v>51</v>
      </c>
      <c r="C115" s="6">
        <f>((1-C112)*C114+C112*(1+C79)/2+0.2*(1-C79)/2)</f>
        <v>0.87413731950629536</v>
      </c>
      <c r="D115" s="6">
        <f t="shared" ref="D115:N115" si="37">((1-D112)*D114+D112*(1+D79)/2+0.2*(1-D79)/2)</f>
        <v>0.89301659628474339</v>
      </c>
      <c r="E115" s="6">
        <f t="shared" si="37"/>
        <v>0.8872113226407411</v>
      </c>
      <c r="F115" s="6">
        <f t="shared" si="37"/>
        <v>0.83924554005860397</v>
      </c>
      <c r="G115" s="6">
        <f t="shared" si="37"/>
        <v>0.80825813392333923</v>
      </c>
      <c r="H115" s="6">
        <f t="shared" si="37"/>
        <v>0.7980342226027155</v>
      </c>
      <c r="I115" s="6">
        <f t="shared" si="37"/>
        <v>0.77778432943111298</v>
      </c>
      <c r="J115" s="6">
        <f t="shared" si="37"/>
        <v>0.8027505379351928</v>
      </c>
      <c r="K115" s="6">
        <f t="shared" si="37"/>
        <v>0.86470622959909993</v>
      </c>
      <c r="L115" s="6">
        <f t="shared" si="37"/>
        <v>0.87819839906990871</v>
      </c>
      <c r="M115" s="6">
        <f t="shared" si="37"/>
        <v>0.96440272355334788</v>
      </c>
      <c r="N115" s="180">
        <f t="shared" si="37"/>
        <v>0.98390307165745194</v>
      </c>
    </row>
    <row r="116" spans="2:15">
      <c r="B116" s="169"/>
      <c r="N116" s="180"/>
    </row>
    <row r="117" spans="2:15" ht="13">
      <c r="B117" s="27" t="s">
        <v>54</v>
      </c>
      <c r="C117" s="6">
        <f>C97*C82*C79</f>
        <v>0.18680650184862224</v>
      </c>
      <c r="D117" s="6">
        <f t="shared" ref="D117:N117" si="38">D97*D82*D79</f>
        <v>0.11837301690506148</v>
      </c>
      <c r="E117" s="6">
        <f t="shared" si="38"/>
        <v>2.532546111727774E-2</v>
      </c>
      <c r="F117" s="6">
        <f t="shared" si="38"/>
        <v>-8.4239429489468373E-2</v>
      </c>
      <c r="G117" s="6">
        <f t="shared" si="38"/>
        <v>-0.16588721038706139</v>
      </c>
      <c r="H117" s="6">
        <f t="shared" si="38"/>
        <v>-0.2038115591497496</v>
      </c>
      <c r="I117" s="6">
        <f t="shared" si="38"/>
        <v>-0.18888075292926385</v>
      </c>
      <c r="J117" s="6">
        <f t="shared" si="38"/>
        <v>-0.12269323408291556</v>
      </c>
      <c r="K117" s="6">
        <f t="shared" si="38"/>
        <v>-1.9920092230899345E-2</v>
      </c>
      <c r="L117" s="6">
        <f t="shared" si="38"/>
        <v>2.3525649777257362E-2</v>
      </c>
      <c r="M117" s="6">
        <f t="shared" si="38"/>
        <v>0.16891225561708806</v>
      </c>
      <c r="N117" s="180">
        <f t="shared" si="38"/>
        <v>0.20398330777881063</v>
      </c>
    </row>
    <row r="118" spans="2:15" ht="13">
      <c r="B118" s="27" t="s">
        <v>54</v>
      </c>
      <c r="C118" s="6">
        <f>C117-C97*C83*C78</f>
        <v>0.28585467683502785</v>
      </c>
      <c r="D118" s="6">
        <f t="shared" ref="D118:N118" si="39">D117-D97*D83*D78</f>
        <v>0.18113652447067224</v>
      </c>
      <c r="E118" s="6">
        <f t="shared" si="39"/>
        <v>3.875347716346568E-2</v>
      </c>
      <c r="F118" s="6">
        <f t="shared" si="39"/>
        <v>-0.12890469365457313</v>
      </c>
      <c r="G118" s="6">
        <f t="shared" si="39"/>
        <v>-0.25384359991219141</v>
      </c>
      <c r="H118" s="6">
        <f t="shared" si="39"/>
        <v>-0.31187612208062193</v>
      </c>
      <c r="I118" s="6">
        <f t="shared" si="39"/>
        <v>-0.28902873323276501</v>
      </c>
      <c r="J118" s="6">
        <f t="shared" si="39"/>
        <v>-0.18774739868014356</v>
      </c>
      <c r="K118" s="6">
        <f t="shared" si="39"/>
        <v>-3.0482084246735645E-2</v>
      </c>
      <c r="L118" s="6">
        <f t="shared" si="39"/>
        <v>3.5999373404366049E-2</v>
      </c>
      <c r="M118" s="6">
        <f t="shared" si="39"/>
        <v>0.25847257865802403</v>
      </c>
      <c r="N118" s="180">
        <f t="shared" si="39"/>
        <v>0.31213893492905737</v>
      </c>
    </row>
    <row r="119" spans="2:15" ht="13">
      <c r="B119" s="27" t="s">
        <v>54</v>
      </c>
      <c r="C119" s="6">
        <f>C118+C98*C83*C79*C89</f>
        <v>0.87211468593451724</v>
      </c>
      <c r="D119" s="6">
        <f t="shared" ref="D119:N119" si="40">D118+D98*D83*D79*D89</f>
        <v>0.79340262738486933</v>
      </c>
      <c r="E119" s="6">
        <f t="shared" si="40"/>
        <v>0.6671044651639273</v>
      </c>
      <c r="F119" s="6">
        <f t="shared" si="40"/>
        <v>0.49173318114106879</v>
      </c>
      <c r="G119" s="6">
        <f t="shared" si="40"/>
        <v>0.34173361327550911</v>
      </c>
      <c r="H119" s="6">
        <f t="shared" si="40"/>
        <v>0.265867119134713</v>
      </c>
      <c r="I119" s="6">
        <f t="shared" si="40"/>
        <v>0.29623853942400524</v>
      </c>
      <c r="J119" s="6">
        <f t="shared" si="40"/>
        <v>0.4232480679702455</v>
      </c>
      <c r="K119" s="6">
        <f t="shared" si="40"/>
        <v>0.59815928408024854</v>
      </c>
      <c r="L119" s="6">
        <f t="shared" si="40"/>
        <v>0.66445476888989885</v>
      </c>
      <c r="M119" s="6">
        <f t="shared" si="40"/>
        <v>0.85277947941639543</v>
      </c>
      <c r="N119" s="180">
        <f t="shared" si="40"/>
        <v>0.88979170652691142</v>
      </c>
    </row>
    <row r="120" spans="2:15" ht="13">
      <c r="B120" s="27" t="s">
        <v>54</v>
      </c>
      <c r="C120" s="6">
        <f>C119+C98*C82*C78*C89</f>
        <v>0.74102169113038874</v>
      </c>
      <c r="D120" s="6">
        <f t="shared" ref="D120:N120" si="41">D119+D98*D82*D78*D89</f>
        <v>0.65649443681706632</v>
      </c>
      <c r="E120" s="6">
        <f t="shared" si="41"/>
        <v>0.5265995500638172</v>
      </c>
      <c r="F120" s="6">
        <f t="shared" si="41"/>
        <v>0.35295298731409519</v>
      </c>
      <c r="G120" s="6">
        <f t="shared" si="41"/>
        <v>0.2085572080934478</v>
      </c>
      <c r="H120" s="6">
        <f t="shared" si="41"/>
        <v>0.13667854999608467</v>
      </c>
      <c r="I120" s="6">
        <f t="shared" si="41"/>
        <v>0.16536752938995711</v>
      </c>
      <c r="J120" s="6">
        <f t="shared" si="41"/>
        <v>0.28662400306433977</v>
      </c>
      <c r="K120" s="6">
        <f t="shared" si="41"/>
        <v>0.45758943733539859</v>
      </c>
      <c r="L120" s="6">
        <f t="shared" si="41"/>
        <v>0.52392650733994484</v>
      </c>
      <c r="M120" s="6">
        <f t="shared" si="41"/>
        <v>0.71988712748393824</v>
      </c>
      <c r="N120" s="180">
        <f t="shared" si="41"/>
        <v>0.76062336720595836</v>
      </c>
    </row>
    <row r="121" spans="2:15" ht="13">
      <c r="B121" s="27" t="s">
        <v>54</v>
      </c>
      <c r="C121" s="6">
        <f>ATAN(SQRT(1-C120^2)/C120)/C75</f>
        <v>42.181479150325238</v>
      </c>
      <c r="D121" s="6">
        <f t="shared" ref="D121:N121" si="42">ATAN(SQRT(1-D120^2)/D120)/D75</f>
        <v>48.966936565272853</v>
      </c>
      <c r="E121" s="6">
        <f t="shared" si="42"/>
        <v>58.22401327701656</v>
      </c>
      <c r="F121" s="6">
        <f t="shared" si="42"/>
        <v>69.331960248493587</v>
      </c>
      <c r="G121" s="6">
        <f t="shared" si="42"/>
        <v>77.962185653195547</v>
      </c>
      <c r="H121" s="6">
        <f t="shared" si="42"/>
        <v>82.144306482392295</v>
      </c>
      <c r="I121" s="6">
        <f t="shared" si="42"/>
        <v>80.481414343056713</v>
      </c>
      <c r="J121" s="6">
        <f t="shared" si="42"/>
        <v>73.344052464050009</v>
      </c>
      <c r="K121" s="6">
        <f t="shared" si="42"/>
        <v>62.768332642720672</v>
      </c>
      <c r="L121" s="6">
        <f t="shared" si="42"/>
        <v>58.403995667717027</v>
      </c>
      <c r="M121" s="6">
        <f t="shared" si="42"/>
        <v>43.954837739468964</v>
      </c>
      <c r="N121" s="180">
        <f t="shared" si="42"/>
        <v>40.480816576875341</v>
      </c>
    </row>
    <row r="123" spans="2:15">
      <c r="C123" s="14">
        <f>C109*C115*1.05</f>
        <v>14446.711445969013</v>
      </c>
      <c r="D123" s="14">
        <f t="shared" ref="D123:N123" si="43">D109*D115*1.05</f>
        <v>12581.208949728638</v>
      </c>
      <c r="E123" s="14">
        <f t="shared" si="43"/>
        <v>10095.686767321678</v>
      </c>
      <c r="F123" s="14">
        <f t="shared" si="43"/>
        <v>6366.5854850188553</v>
      </c>
      <c r="G123" s="14">
        <f t="shared" si="43"/>
        <v>4160.6691836099735</v>
      </c>
      <c r="H123" s="14">
        <f t="shared" si="43"/>
        <v>3243.1891347163146</v>
      </c>
      <c r="I123" s="14">
        <f t="shared" si="43"/>
        <v>3793.0729508867807</v>
      </c>
      <c r="J123" s="14">
        <f t="shared" si="43"/>
        <v>5654.7505915833071</v>
      </c>
      <c r="K123" s="14">
        <f t="shared" si="43"/>
        <v>8433.9416104066277</v>
      </c>
      <c r="L123" s="14">
        <f>L109*L115*1.05</f>
        <v>10706.922430092405</v>
      </c>
      <c r="M123" s="14">
        <f t="shared" si="43"/>
        <v>14632.076283798058</v>
      </c>
      <c r="N123" s="14">
        <f t="shared" si="43"/>
        <v>16260.790438584419</v>
      </c>
      <c r="O123" s="14">
        <f>SUM(C123:N123)/86.01</f>
        <v>1283.2880510605285</v>
      </c>
    </row>
    <row r="127" spans="2:15" ht="13" thickBot="1"/>
    <row r="128" spans="2:15" ht="13">
      <c r="B128" s="23" t="s">
        <v>20</v>
      </c>
      <c r="C128" s="24">
        <f>PI()/180</f>
        <v>1.7453292519943295E-2</v>
      </c>
      <c r="D128" s="24">
        <f t="shared" ref="D128:N128" si="44">PI()/180</f>
        <v>1.7453292519943295E-2</v>
      </c>
      <c r="E128" s="24">
        <f t="shared" si="44"/>
        <v>1.7453292519943295E-2</v>
      </c>
      <c r="F128" s="24">
        <f t="shared" si="44"/>
        <v>1.7453292519943295E-2</v>
      </c>
      <c r="G128" s="24">
        <f t="shared" si="44"/>
        <v>1.7453292519943295E-2</v>
      </c>
      <c r="H128" s="24">
        <f t="shared" si="44"/>
        <v>1.7453292519943295E-2</v>
      </c>
      <c r="I128" s="24">
        <f t="shared" si="44"/>
        <v>1.7453292519943295E-2</v>
      </c>
      <c r="J128" s="24">
        <f t="shared" si="44"/>
        <v>1.7453292519943295E-2</v>
      </c>
      <c r="K128" s="24">
        <f t="shared" si="44"/>
        <v>1.7453292519943295E-2</v>
      </c>
      <c r="L128" s="24">
        <f t="shared" si="44"/>
        <v>1.7453292519943295E-2</v>
      </c>
      <c r="M128" s="24">
        <f t="shared" si="44"/>
        <v>1.7453292519943295E-2</v>
      </c>
      <c r="N128" s="26">
        <f t="shared" si="44"/>
        <v>1.7453292519943295E-2</v>
      </c>
    </row>
    <row r="129" spans="2:14">
      <c r="B129" s="169" t="s">
        <v>30</v>
      </c>
      <c r="C129" s="6">
        <f>'Inclination angle'!$Z$25</f>
        <v>26.47</v>
      </c>
      <c r="D129" s="6">
        <f>'Inclination angle'!$Z$25</f>
        <v>26.47</v>
      </c>
      <c r="E129" s="6">
        <f>'Inclination angle'!$Z$25</f>
        <v>26.47</v>
      </c>
      <c r="F129" s="6">
        <f>'Inclination angle'!$Z$25</f>
        <v>26.47</v>
      </c>
      <c r="G129" s="6">
        <f>'Inclination angle'!$Z$25</f>
        <v>26.47</v>
      </c>
      <c r="H129" s="6">
        <f>'Inclination angle'!$Z$25</f>
        <v>26.47</v>
      </c>
      <c r="I129" s="6">
        <f>'Inclination angle'!$Z$25</f>
        <v>26.47</v>
      </c>
      <c r="J129" s="6">
        <f>'Inclination angle'!$Z$25</f>
        <v>26.47</v>
      </c>
      <c r="K129" s="6">
        <f>'Inclination angle'!$Z$25</f>
        <v>26.47</v>
      </c>
      <c r="L129" s="6">
        <f>'Inclination angle'!$Z$25</f>
        <v>26.47</v>
      </c>
      <c r="M129" s="6">
        <f>'Inclination angle'!$Z$25</f>
        <v>26.47</v>
      </c>
      <c r="N129" s="180">
        <f>'Inclination angle'!$Z$25</f>
        <v>26.47</v>
      </c>
    </row>
    <row r="130" spans="2:14">
      <c r="B130" s="169" t="s">
        <v>31</v>
      </c>
      <c r="C130" s="6">
        <f t="shared" ref="C130:N130" si="45">C129*C128</f>
        <v>0.46198865300289899</v>
      </c>
      <c r="D130" s="6">
        <f t="shared" si="45"/>
        <v>0.46198865300289899</v>
      </c>
      <c r="E130" s="6">
        <f t="shared" si="45"/>
        <v>0.46198865300289899</v>
      </c>
      <c r="F130" s="6">
        <f t="shared" si="45"/>
        <v>0.46198865300289899</v>
      </c>
      <c r="G130" s="6">
        <f t="shared" si="45"/>
        <v>0.46198865300289899</v>
      </c>
      <c r="H130" s="6">
        <f t="shared" si="45"/>
        <v>0.46198865300289899</v>
      </c>
      <c r="I130" s="6">
        <f t="shared" si="45"/>
        <v>0.46198865300289899</v>
      </c>
      <c r="J130" s="6">
        <f t="shared" si="45"/>
        <v>0.46198865300289899</v>
      </c>
      <c r="K130" s="6">
        <f t="shared" si="45"/>
        <v>0.46198865300289899</v>
      </c>
      <c r="L130" s="6">
        <f t="shared" si="45"/>
        <v>0.46198865300289899</v>
      </c>
      <c r="M130" s="6">
        <f t="shared" si="45"/>
        <v>0.46198865300289899</v>
      </c>
      <c r="N130" s="180">
        <f t="shared" si="45"/>
        <v>0.46198865300289899</v>
      </c>
    </row>
    <row r="131" spans="2:14">
      <c r="B131" s="169" t="s">
        <v>32</v>
      </c>
      <c r="C131" s="6">
        <f t="shared" ref="C131:N131" si="46">SIN(C130)</f>
        <v>0.4457291654314135</v>
      </c>
      <c r="D131" s="6">
        <f t="shared" si="46"/>
        <v>0.4457291654314135</v>
      </c>
      <c r="E131" s="6">
        <f t="shared" si="46"/>
        <v>0.4457291654314135</v>
      </c>
      <c r="F131" s="6">
        <f t="shared" si="46"/>
        <v>0.4457291654314135</v>
      </c>
      <c r="G131" s="6">
        <f t="shared" si="46"/>
        <v>0.4457291654314135</v>
      </c>
      <c r="H131" s="6">
        <f t="shared" si="46"/>
        <v>0.4457291654314135</v>
      </c>
      <c r="I131" s="6">
        <f t="shared" si="46"/>
        <v>0.4457291654314135</v>
      </c>
      <c r="J131" s="6">
        <f t="shared" si="46"/>
        <v>0.4457291654314135</v>
      </c>
      <c r="K131" s="6">
        <f t="shared" si="46"/>
        <v>0.4457291654314135</v>
      </c>
      <c r="L131" s="6">
        <f t="shared" si="46"/>
        <v>0.4457291654314135</v>
      </c>
      <c r="M131" s="6">
        <f t="shared" si="46"/>
        <v>0.4457291654314135</v>
      </c>
      <c r="N131" s="180">
        <f t="shared" si="46"/>
        <v>0.4457291654314135</v>
      </c>
    </row>
    <row r="132" spans="2:14">
      <c r="B132" s="169" t="s">
        <v>33</v>
      </c>
      <c r="C132" s="6">
        <f>COS(C130)</f>
        <v>0.89516786754430344</v>
      </c>
      <c r="D132" s="6">
        <f t="shared" ref="D132:N132" si="47">COS(D130)</f>
        <v>0.89516786754430344</v>
      </c>
      <c r="E132" s="6">
        <f t="shared" si="47"/>
        <v>0.89516786754430344</v>
      </c>
      <c r="F132" s="6">
        <f t="shared" si="47"/>
        <v>0.89516786754430344</v>
      </c>
      <c r="G132" s="6">
        <f t="shared" si="47"/>
        <v>0.89516786754430344</v>
      </c>
      <c r="H132" s="6">
        <f t="shared" si="47"/>
        <v>0.89516786754430344</v>
      </c>
      <c r="I132" s="6">
        <f t="shared" si="47"/>
        <v>0.89516786754430344</v>
      </c>
      <c r="J132" s="6">
        <f t="shared" si="47"/>
        <v>0.89516786754430344</v>
      </c>
      <c r="K132" s="6">
        <f t="shared" si="47"/>
        <v>0.89516786754430344</v>
      </c>
      <c r="L132" s="6">
        <f t="shared" si="47"/>
        <v>0.89516786754430344</v>
      </c>
      <c r="M132" s="6">
        <f t="shared" si="47"/>
        <v>0.89516786754430344</v>
      </c>
      <c r="N132" s="180">
        <f t="shared" si="47"/>
        <v>0.89516786754430344</v>
      </c>
    </row>
    <row r="133" spans="2:14">
      <c r="B133" s="169" t="s">
        <v>34</v>
      </c>
      <c r="C133" s="6">
        <f>'Inclination angle'!$S$9</f>
        <v>-33</v>
      </c>
      <c r="D133" s="6">
        <f>C133</f>
        <v>-33</v>
      </c>
      <c r="E133" s="6">
        <f t="shared" ref="E133:N133" si="48">D133</f>
        <v>-33</v>
      </c>
      <c r="F133" s="6">
        <f t="shared" si="48"/>
        <v>-33</v>
      </c>
      <c r="G133" s="6">
        <f t="shared" si="48"/>
        <v>-33</v>
      </c>
      <c r="H133" s="6">
        <f t="shared" si="48"/>
        <v>-33</v>
      </c>
      <c r="I133" s="6">
        <f t="shared" si="48"/>
        <v>-33</v>
      </c>
      <c r="J133" s="6">
        <f t="shared" si="48"/>
        <v>-33</v>
      </c>
      <c r="K133" s="6">
        <f t="shared" si="48"/>
        <v>-33</v>
      </c>
      <c r="L133" s="6">
        <f t="shared" si="48"/>
        <v>-33</v>
      </c>
      <c r="M133" s="6">
        <f t="shared" si="48"/>
        <v>-33</v>
      </c>
      <c r="N133" s="180">
        <f t="shared" si="48"/>
        <v>-33</v>
      </c>
    </row>
    <row r="134" spans="2:14">
      <c r="B134" s="169" t="s">
        <v>35</v>
      </c>
      <c r="C134" s="6">
        <f t="shared" ref="C134:N134" si="49">C133*C128</f>
        <v>-0.57595865315812877</v>
      </c>
      <c r="D134" s="6">
        <f t="shared" si="49"/>
        <v>-0.57595865315812877</v>
      </c>
      <c r="E134" s="6">
        <f t="shared" si="49"/>
        <v>-0.57595865315812877</v>
      </c>
      <c r="F134" s="6">
        <f t="shared" si="49"/>
        <v>-0.57595865315812877</v>
      </c>
      <c r="G134" s="6">
        <f t="shared" si="49"/>
        <v>-0.57595865315812877</v>
      </c>
      <c r="H134" s="6">
        <f t="shared" si="49"/>
        <v>-0.57595865315812877</v>
      </c>
      <c r="I134" s="6">
        <f t="shared" si="49"/>
        <v>-0.57595865315812877</v>
      </c>
      <c r="J134" s="6">
        <f t="shared" si="49"/>
        <v>-0.57595865315812877</v>
      </c>
      <c r="K134" s="6">
        <f t="shared" si="49"/>
        <v>-0.57595865315812877</v>
      </c>
      <c r="L134" s="6">
        <f t="shared" si="49"/>
        <v>-0.57595865315812877</v>
      </c>
      <c r="M134" s="6">
        <f t="shared" si="49"/>
        <v>-0.57595865315812877</v>
      </c>
      <c r="N134" s="180">
        <f t="shared" si="49"/>
        <v>-0.57595865315812877</v>
      </c>
    </row>
    <row r="135" spans="2:14">
      <c r="B135" s="169" t="s">
        <v>21</v>
      </c>
      <c r="C135" s="6">
        <f t="shared" ref="C135:N135" si="50">SIN(C134)</f>
        <v>-0.54463903501502708</v>
      </c>
      <c r="D135" s="6">
        <f t="shared" si="50"/>
        <v>-0.54463903501502708</v>
      </c>
      <c r="E135" s="6">
        <f t="shared" si="50"/>
        <v>-0.54463903501502708</v>
      </c>
      <c r="F135" s="6">
        <f t="shared" si="50"/>
        <v>-0.54463903501502708</v>
      </c>
      <c r="G135" s="6">
        <f t="shared" si="50"/>
        <v>-0.54463903501502708</v>
      </c>
      <c r="H135" s="6">
        <f t="shared" si="50"/>
        <v>-0.54463903501502708</v>
      </c>
      <c r="I135" s="6">
        <f t="shared" si="50"/>
        <v>-0.54463903501502708</v>
      </c>
      <c r="J135" s="6">
        <f t="shared" si="50"/>
        <v>-0.54463903501502708</v>
      </c>
      <c r="K135" s="6">
        <f t="shared" si="50"/>
        <v>-0.54463903501502708</v>
      </c>
      <c r="L135" s="6">
        <f t="shared" si="50"/>
        <v>-0.54463903501502708</v>
      </c>
      <c r="M135" s="6">
        <f t="shared" si="50"/>
        <v>-0.54463903501502708</v>
      </c>
      <c r="N135" s="180">
        <f t="shared" si="50"/>
        <v>-0.54463903501502708</v>
      </c>
    </row>
    <row r="136" spans="2:14">
      <c r="B136" s="169" t="s">
        <v>22</v>
      </c>
      <c r="C136" s="6">
        <f>COS(C134)</f>
        <v>0.83867056794542405</v>
      </c>
      <c r="D136" s="6">
        <f t="shared" ref="D136:N136" si="51">COS(D134)</f>
        <v>0.83867056794542405</v>
      </c>
      <c r="E136" s="6">
        <f t="shared" si="51"/>
        <v>0.83867056794542405</v>
      </c>
      <c r="F136" s="6">
        <f t="shared" si="51"/>
        <v>0.83867056794542405</v>
      </c>
      <c r="G136" s="6">
        <f t="shared" si="51"/>
        <v>0.83867056794542405</v>
      </c>
      <c r="H136" s="6">
        <f t="shared" si="51"/>
        <v>0.83867056794542405</v>
      </c>
      <c r="I136" s="6">
        <f t="shared" si="51"/>
        <v>0.83867056794542405</v>
      </c>
      <c r="J136" s="6">
        <f t="shared" si="51"/>
        <v>0.83867056794542405</v>
      </c>
      <c r="K136" s="6">
        <f t="shared" si="51"/>
        <v>0.83867056794542405</v>
      </c>
      <c r="L136" s="6">
        <f t="shared" si="51"/>
        <v>0.83867056794542405</v>
      </c>
      <c r="M136" s="6">
        <f t="shared" si="51"/>
        <v>0.83867056794542405</v>
      </c>
      <c r="N136" s="180">
        <f t="shared" si="51"/>
        <v>0.83867056794542405</v>
      </c>
    </row>
    <row r="137" spans="2:14">
      <c r="B137" s="169" t="s">
        <v>23</v>
      </c>
      <c r="C137" s="6">
        <f>TAN(C134)</f>
        <v>-0.64940759319751062</v>
      </c>
      <c r="D137" s="6">
        <f t="shared" ref="D137:N137" si="52">TAN(D134)</f>
        <v>-0.64940759319751062</v>
      </c>
      <c r="E137" s="6">
        <f t="shared" si="52"/>
        <v>-0.64940759319751062</v>
      </c>
      <c r="F137" s="6">
        <f t="shared" si="52"/>
        <v>-0.64940759319751062</v>
      </c>
      <c r="G137" s="6">
        <f t="shared" si="52"/>
        <v>-0.64940759319751062</v>
      </c>
      <c r="H137" s="6">
        <f t="shared" si="52"/>
        <v>-0.64940759319751062</v>
      </c>
      <c r="I137" s="6">
        <f t="shared" si="52"/>
        <v>-0.64940759319751062</v>
      </c>
      <c r="J137" s="6">
        <f t="shared" si="52"/>
        <v>-0.64940759319751062</v>
      </c>
      <c r="K137" s="6">
        <f t="shared" si="52"/>
        <v>-0.64940759319751062</v>
      </c>
      <c r="L137" s="6">
        <f t="shared" si="52"/>
        <v>-0.64940759319751062</v>
      </c>
      <c r="M137" s="6">
        <f t="shared" si="52"/>
        <v>-0.64940759319751062</v>
      </c>
      <c r="N137" s="180">
        <f t="shared" si="52"/>
        <v>-0.64940759319751062</v>
      </c>
    </row>
    <row r="138" spans="2:14">
      <c r="B138" s="169" t="s">
        <v>36</v>
      </c>
      <c r="C138" s="6">
        <f>(C133-C129)*C128</f>
        <v>-1.0379473061610278</v>
      </c>
      <c r="D138" s="6">
        <f t="shared" ref="D138:N138" si="53">(D133-D129)*D128</f>
        <v>-1.0379473061610278</v>
      </c>
      <c r="E138" s="6">
        <f t="shared" si="53"/>
        <v>-1.0379473061610278</v>
      </c>
      <c r="F138" s="6">
        <f t="shared" si="53"/>
        <v>-1.0379473061610278</v>
      </c>
      <c r="G138" s="6">
        <f t="shared" si="53"/>
        <v>-1.0379473061610278</v>
      </c>
      <c r="H138" s="6">
        <f t="shared" si="53"/>
        <v>-1.0379473061610278</v>
      </c>
      <c r="I138" s="6">
        <f t="shared" si="53"/>
        <v>-1.0379473061610278</v>
      </c>
      <c r="J138" s="6">
        <f t="shared" si="53"/>
        <v>-1.0379473061610278</v>
      </c>
      <c r="K138" s="6">
        <f t="shared" si="53"/>
        <v>-1.0379473061610278</v>
      </c>
      <c r="L138" s="6">
        <f t="shared" si="53"/>
        <v>-1.0379473061610278</v>
      </c>
      <c r="M138" s="6">
        <f t="shared" si="53"/>
        <v>-1.0379473061610278</v>
      </c>
      <c r="N138" s="180">
        <f t="shared" si="53"/>
        <v>-1.0379473061610278</v>
      </c>
    </row>
    <row r="139" spans="2:14" ht="13">
      <c r="B139" s="25" t="s">
        <v>24</v>
      </c>
      <c r="C139" s="6">
        <f t="shared" ref="C139:N139" si="54">SIN(C138)</f>
        <v>-0.86136329587799243</v>
      </c>
      <c r="D139" s="6">
        <f t="shared" si="54"/>
        <v>-0.86136329587799243</v>
      </c>
      <c r="E139" s="6">
        <f t="shared" si="54"/>
        <v>-0.86136329587799243</v>
      </c>
      <c r="F139" s="6">
        <f t="shared" si="54"/>
        <v>-0.86136329587799243</v>
      </c>
      <c r="G139" s="6">
        <f t="shared" si="54"/>
        <v>-0.86136329587799243</v>
      </c>
      <c r="H139" s="6">
        <f t="shared" si="54"/>
        <v>-0.86136329587799243</v>
      </c>
      <c r="I139" s="6">
        <f t="shared" si="54"/>
        <v>-0.86136329587799243</v>
      </c>
      <c r="J139" s="6">
        <f t="shared" si="54"/>
        <v>-0.86136329587799243</v>
      </c>
      <c r="K139" s="6">
        <f t="shared" si="54"/>
        <v>-0.86136329587799243</v>
      </c>
      <c r="L139" s="6">
        <f t="shared" si="54"/>
        <v>-0.86136329587799243</v>
      </c>
      <c r="M139" s="6">
        <f t="shared" si="54"/>
        <v>-0.86136329587799243</v>
      </c>
      <c r="N139" s="180">
        <f t="shared" si="54"/>
        <v>-0.86136329587799243</v>
      </c>
    </row>
    <row r="140" spans="2:14" ht="13">
      <c r="B140" s="25" t="s">
        <v>25</v>
      </c>
      <c r="C140" s="6">
        <f>COS(C138)</f>
        <v>0.50798944134125668</v>
      </c>
      <c r="D140" s="6">
        <f t="shared" ref="D140:N140" si="55">COS(D138)</f>
        <v>0.50798944134125668</v>
      </c>
      <c r="E140" s="6">
        <f t="shared" si="55"/>
        <v>0.50798944134125668</v>
      </c>
      <c r="F140" s="6">
        <f t="shared" si="55"/>
        <v>0.50798944134125668</v>
      </c>
      <c r="G140" s="6">
        <f t="shared" si="55"/>
        <v>0.50798944134125668</v>
      </c>
      <c r="H140" s="6">
        <f t="shared" si="55"/>
        <v>0.50798944134125668</v>
      </c>
      <c r="I140" s="6">
        <f t="shared" si="55"/>
        <v>0.50798944134125668</v>
      </c>
      <c r="J140" s="6">
        <f t="shared" si="55"/>
        <v>0.50798944134125668</v>
      </c>
      <c r="K140" s="6">
        <f t="shared" si="55"/>
        <v>0.50798944134125668</v>
      </c>
      <c r="L140" s="6">
        <f t="shared" si="55"/>
        <v>0.50798944134125668</v>
      </c>
      <c r="M140" s="6">
        <f t="shared" si="55"/>
        <v>0.50798944134125668</v>
      </c>
      <c r="N140" s="180">
        <f t="shared" si="55"/>
        <v>0.50798944134125668</v>
      </c>
    </row>
    <row r="141" spans="2:14" ht="13">
      <c r="B141" s="25" t="s">
        <v>26</v>
      </c>
      <c r="C141" s="6">
        <f>TAN(C138)</f>
        <v>-1.6956322824421595</v>
      </c>
      <c r="D141" s="6">
        <f t="shared" ref="D141:N141" si="56">TAN(D138)</f>
        <v>-1.6956322824421595</v>
      </c>
      <c r="E141" s="6">
        <f t="shared" si="56"/>
        <v>-1.6956322824421595</v>
      </c>
      <c r="F141" s="6">
        <f t="shared" si="56"/>
        <v>-1.6956322824421595</v>
      </c>
      <c r="G141" s="6">
        <f t="shared" si="56"/>
        <v>-1.6956322824421595</v>
      </c>
      <c r="H141" s="6">
        <f t="shared" si="56"/>
        <v>-1.6956322824421595</v>
      </c>
      <c r="I141" s="6">
        <f t="shared" si="56"/>
        <v>-1.6956322824421595</v>
      </c>
      <c r="J141" s="6">
        <f t="shared" si="56"/>
        <v>-1.6956322824421595</v>
      </c>
      <c r="K141" s="6">
        <f t="shared" si="56"/>
        <v>-1.6956322824421595</v>
      </c>
      <c r="L141" s="6">
        <f t="shared" si="56"/>
        <v>-1.6956322824421595</v>
      </c>
      <c r="M141" s="6">
        <f t="shared" si="56"/>
        <v>-1.6956322824421595</v>
      </c>
      <c r="N141" s="180">
        <f t="shared" si="56"/>
        <v>-1.6956322824421595</v>
      </c>
    </row>
    <row r="142" spans="2:14" ht="13">
      <c r="B142" s="170" t="s">
        <v>37</v>
      </c>
      <c r="C142" s="6">
        <f>COS(37.5*C128)</f>
        <v>0.79335334029123517</v>
      </c>
      <c r="D142" s="6">
        <f t="shared" ref="D142:N142" si="57">COS(37.5*D128)</f>
        <v>0.79335334029123517</v>
      </c>
      <c r="E142" s="6">
        <f t="shared" si="57"/>
        <v>0.79335334029123517</v>
      </c>
      <c r="F142" s="6">
        <f t="shared" si="57"/>
        <v>0.79335334029123517</v>
      </c>
      <c r="G142" s="6">
        <f t="shared" si="57"/>
        <v>0.79335334029123517</v>
      </c>
      <c r="H142" s="6">
        <f t="shared" si="57"/>
        <v>0.79335334029123517</v>
      </c>
      <c r="I142" s="6">
        <f t="shared" si="57"/>
        <v>0.79335334029123517</v>
      </c>
      <c r="J142" s="6">
        <f t="shared" si="57"/>
        <v>0.79335334029123517</v>
      </c>
      <c r="K142" s="6">
        <f t="shared" si="57"/>
        <v>0.79335334029123517</v>
      </c>
      <c r="L142" s="6">
        <f t="shared" si="57"/>
        <v>0.79335334029123517</v>
      </c>
      <c r="M142" s="6">
        <f t="shared" si="57"/>
        <v>0.79335334029123517</v>
      </c>
      <c r="N142" s="180">
        <f t="shared" si="57"/>
        <v>0.79335334029123517</v>
      </c>
    </row>
    <row r="143" spans="2:14" ht="13">
      <c r="B143" s="170" t="s">
        <v>38</v>
      </c>
      <c r="C143" s="6">
        <f>23.45*C128</f>
        <v>0.40927970959267029</v>
      </c>
      <c r="D143" s="6">
        <f t="shared" ref="D143:N143" si="58">23.45*D128</f>
        <v>0.40927970959267029</v>
      </c>
      <c r="E143" s="6">
        <f t="shared" si="58"/>
        <v>0.40927970959267029</v>
      </c>
      <c r="F143" s="6">
        <f t="shared" si="58"/>
        <v>0.40927970959267029</v>
      </c>
      <c r="G143" s="6">
        <f t="shared" si="58"/>
        <v>0.40927970959267029</v>
      </c>
      <c r="H143" s="6">
        <f t="shared" si="58"/>
        <v>0.40927970959267029</v>
      </c>
      <c r="I143" s="6">
        <f t="shared" si="58"/>
        <v>0.40927970959267029</v>
      </c>
      <c r="J143" s="6">
        <f t="shared" si="58"/>
        <v>0.40927970959267029</v>
      </c>
      <c r="K143" s="6">
        <f t="shared" si="58"/>
        <v>0.40927970959267029</v>
      </c>
      <c r="L143" s="6">
        <f t="shared" si="58"/>
        <v>0.40927970959267029</v>
      </c>
      <c r="M143" s="6">
        <f t="shared" si="58"/>
        <v>0.40927970959267029</v>
      </c>
      <c r="N143" s="180">
        <f t="shared" si="58"/>
        <v>0.40927970959267029</v>
      </c>
    </row>
    <row r="144" spans="2:14">
      <c r="B144" s="10" t="s">
        <v>15</v>
      </c>
      <c r="C144" s="1">
        <v>31</v>
      </c>
      <c r="D144" s="1">
        <v>28</v>
      </c>
      <c r="E144" s="1">
        <v>31</v>
      </c>
      <c r="F144" s="1">
        <v>30</v>
      </c>
      <c r="G144" s="1">
        <v>31</v>
      </c>
      <c r="H144" s="1">
        <v>30</v>
      </c>
      <c r="I144" s="1">
        <v>31</v>
      </c>
      <c r="J144" s="1">
        <v>31</v>
      </c>
      <c r="K144" s="1">
        <v>30</v>
      </c>
      <c r="L144" s="1">
        <v>31</v>
      </c>
      <c r="M144" s="1">
        <v>30</v>
      </c>
      <c r="N144" s="2">
        <v>31</v>
      </c>
    </row>
    <row r="145" spans="2:14" ht="13">
      <c r="B145" s="170" t="s">
        <v>27</v>
      </c>
      <c r="C145" s="6">
        <f>1353*3.6</f>
        <v>4870.8</v>
      </c>
      <c r="D145" s="6">
        <f t="shared" ref="D145:N145" si="59">1353*3.6</f>
        <v>4870.8</v>
      </c>
      <c r="E145" s="6">
        <f t="shared" si="59"/>
        <v>4870.8</v>
      </c>
      <c r="F145" s="6">
        <f t="shared" si="59"/>
        <v>4870.8</v>
      </c>
      <c r="G145" s="6">
        <f t="shared" si="59"/>
        <v>4870.8</v>
      </c>
      <c r="H145" s="6">
        <f t="shared" si="59"/>
        <v>4870.8</v>
      </c>
      <c r="I145" s="6">
        <f t="shared" si="59"/>
        <v>4870.8</v>
      </c>
      <c r="J145" s="6">
        <f t="shared" si="59"/>
        <v>4870.8</v>
      </c>
      <c r="K145" s="6">
        <f t="shared" si="59"/>
        <v>4870.8</v>
      </c>
      <c r="L145" s="6">
        <f t="shared" si="59"/>
        <v>4870.8</v>
      </c>
      <c r="M145" s="6">
        <f t="shared" si="59"/>
        <v>4870.8</v>
      </c>
      <c r="N145" s="180">
        <f t="shared" si="59"/>
        <v>4870.8</v>
      </c>
    </row>
    <row r="146" spans="2:14" ht="13.5" thickBot="1">
      <c r="B146" s="25" t="s">
        <v>28</v>
      </c>
      <c r="C146" s="6">
        <f t="shared" ref="C146:N146" si="60">(24*C145)/PI()</f>
        <v>37210.171046976189</v>
      </c>
      <c r="D146" s="6">
        <f t="shared" si="60"/>
        <v>37210.171046976189</v>
      </c>
      <c r="E146" s="6">
        <f t="shared" si="60"/>
        <v>37210.171046976189</v>
      </c>
      <c r="F146" s="6">
        <f t="shared" si="60"/>
        <v>37210.171046976189</v>
      </c>
      <c r="G146" s="6">
        <f t="shared" si="60"/>
        <v>37210.171046976189</v>
      </c>
      <c r="H146" s="6">
        <f t="shared" si="60"/>
        <v>37210.171046976189</v>
      </c>
      <c r="I146" s="6">
        <f t="shared" si="60"/>
        <v>37210.171046976189</v>
      </c>
      <c r="J146" s="6">
        <f t="shared" si="60"/>
        <v>37210.171046976189</v>
      </c>
      <c r="K146" s="6">
        <f t="shared" si="60"/>
        <v>37210.171046976189</v>
      </c>
      <c r="L146" s="6">
        <f t="shared" si="60"/>
        <v>37210.171046976189</v>
      </c>
      <c r="M146" s="6">
        <f t="shared" si="60"/>
        <v>37210.171046976189</v>
      </c>
      <c r="N146" s="181">
        <f t="shared" si="60"/>
        <v>37210.171046976189</v>
      </c>
    </row>
    <row r="147" spans="2:14" ht="13">
      <c r="B147" s="23" t="s">
        <v>15</v>
      </c>
      <c r="C147" s="24">
        <v>15</v>
      </c>
      <c r="D147" s="24">
        <v>46</v>
      </c>
      <c r="E147" s="24">
        <v>74</v>
      </c>
      <c r="F147" s="24">
        <v>105</v>
      </c>
      <c r="G147" s="24">
        <v>135</v>
      </c>
      <c r="H147" s="24">
        <v>166</v>
      </c>
      <c r="I147" s="24">
        <v>196</v>
      </c>
      <c r="J147" s="24">
        <v>227</v>
      </c>
      <c r="K147" s="24">
        <v>258</v>
      </c>
      <c r="L147" s="24">
        <v>270</v>
      </c>
      <c r="M147" s="24">
        <v>319</v>
      </c>
      <c r="N147" s="26">
        <v>349</v>
      </c>
    </row>
    <row r="148" spans="2:14" ht="13">
      <c r="B148" s="170" t="s">
        <v>39</v>
      </c>
      <c r="C148" s="6">
        <f>(360*C128)/365</f>
        <v>1.7214206321039961E-2</v>
      </c>
      <c r="D148" s="6">
        <f t="shared" ref="D148:N148" si="61">(360*D128)/365</f>
        <v>1.7214206321039961E-2</v>
      </c>
      <c r="E148" s="6">
        <f t="shared" si="61"/>
        <v>1.7214206321039961E-2</v>
      </c>
      <c r="F148" s="6">
        <f t="shared" si="61"/>
        <v>1.7214206321039961E-2</v>
      </c>
      <c r="G148" s="6">
        <f t="shared" si="61"/>
        <v>1.7214206321039961E-2</v>
      </c>
      <c r="H148" s="6">
        <f t="shared" si="61"/>
        <v>1.7214206321039961E-2</v>
      </c>
      <c r="I148" s="6">
        <f t="shared" si="61"/>
        <v>1.7214206321039961E-2</v>
      </c>
      <c r="J148" s="6">
        <f t="shared" si="61"/>
        <v>1.7214206321039961E-2</v>
      </c>
      <c r="K148" s="6">
        <f t="shared" si="61"/>
        <v>1.7214206321039961E-2</v>
      </c>
      <c r="L148" s="6">
        <f t="shared" si="61"/>
        <v>1.7214206321039961E-2</v>
      </c>
      <c r="M148" s="6">
        <f t="shared" si="61"/>
        <v>1.7214206321039961E-2</v>
      </c>
      <c r="N148" s="180">
        <f t="shared" si="61"/>
        <v>1.7214206321039961E-2</v>
      </c>
    </row>
    <row r="149" spans="2:14" ht="13">
      <c r="B149" s="170" t="s">
        <v>40</v>
      </c>
      <c r="C149" s="6">
        <f t="shared" ref="C149:N149" si="62">C143*SIN(C148*(284+C147))</f>
        <v>-0.37122234990040354</v>
      </c>
      <c r="D149" s="6">
        <f t="shared" si="62"/>
        <v>-0.23193953024048489</v>
      </c>
      <c r="E149" s="6">
        <f t="shared" si="62"/>
        <v>-4.9198713707110125E-2</v>
      </c>
      <c r="F149" s="6">
        <f t="shared" si="62"/>
        <v>0.16432088762716554</v>
      </c>
      <c r="G149" s="6">
        <f t="shared" si="62"/>
        <v>0.32798083344699769</v>
      </c>
      <c r="H149" s="6">
        <f t="shared" si="62"/>
        <v>0.40691321620538912</v>
      </c>
      <c r="I149" s="6">
        <f t="shared" si="62"/>
        <v>0.37554836000057829</v>
      </c>
      <c r="J149" s="6">
        <f t="shared" si="62"/>
        <v>0.24056857736111795</v>
      </c>
      <c r="K149" s="6">
        <f t="shared" si="62"/>
        <v>3.8691973511018649E-2</v>
      </c>
      <c r="L149" s="6">
        <f t="shared" si="62"/>
        <v>-4.5699766008172903E-2</v>
      </c>
      <c r="M149" s="6">
        <f t="shared" si="62"/>
        <v>-0.33419245656714902</v>
      </c>
      <c r="N149" s="180">
        <f t="shared" si="62"/>
        <v>-0.40727641274141724</v>
      </c>
    </row>
    <row r="150" spans="2:14" ht="13">
      <c r="B150" s="25" t="s">
        <v>42</v>
      </c>
      <c r="C150" s="6">
        <f t="shared" ref="C150:N150" si="63">SIN(C149)</f>
        <v>-0.36275479176733588</v>
      </c>
      <c r="D150" s="6">
        <f t="shared" si="63"/>
        <v>-0.22986554896822295</v>
      </c>
      <c r="E150" s="6">
        <f t="shared" si="63"/>
        <v>-4.9178868417837161E-2</v>
      </c>
      <c r="F150" s="6">
        <f t="shared" si="63"/>
        <v>0.16358240425600395</v>
      </c>
      <c r="G150" s="6">
        <f t="shared" si="63"/>
        <v>0.32213215206816698</v>
      </c>
      <c r="H150" s="6">
        <f t="shared" si="63"/>
        <v>0.39577647976650848</v>
      </c>
      <c r="I150" s="6">
        <f t="shared" si="63"/>
        <v>0.36678272715173194</v>
      </c>
      <c r="J150" s="6">
        <f t="shared" si="63"/>
        <v>0.23825486875759558</v>
      </c>
      <c r="K150" s="6">
        <f t="shared" si="63"/>
        <v>3.868232014248444E-2</v>
      </c>
      <c r="L150" s="6">
        <f t="shared" si="63"/>
        <v>-4.5683860581339865E-2</v>
      </c>
      <c r="M150" s="6">
        <f t="shared" si="63"/>
        <v>-0.32800641041381234</v>
      </c>
      <c r="N150" s="180">
        <f t="shared" si="63"/>
        <v>-0.3961099940583282</v>
      </c>
    </row>
    <row r="151" spans="2:14" ht="13">
      <c r="B151" s="25" t="s">
        <v>43</v>
      </c>
      <c r="C151" s="6">
        <f>COS(C149)</f>
        <v>0.93188462861549382</v>
      </c>
      <c r="D151" s="6">
        <f t="shared" ref="D151:N151" si="64">COS(D149)</f>
        <v>0.97322239462393045</v>
      </c>
      <c r="E151" s="6">
        <f t="shared" si="64"/>
        <v>0.99878998738530667</v>
      </c>
      <c r="F151" s="6">
        <f t="shared" si="64"/>
        <v>0.9865296736631014</v>
      </c>
      <c r="G151" s="6">
        <f t="shared" si="64"/>
        <v>0.94669471140591643</v>
      </c>
      <c r="H151" s="6">
        <f t="shared" si="64"/>
        <v>0.91834687240912982</v>
      </c>
      <c r="I151" s="6">
        <f t="shared" si="64"/>
        <v>0.93030663281691062</v>
      </c>
      <c r="J151" s="6">
        <f t="shared" si="64"/>
        <v>0.97120266552007617</v>
      </c>
      <c r="K151" s="6">
        <f t="shared" si="64"/>
        <v>0.99925155897221118</v>
      </c>
      <c r="L151" s="6">
        <f t="shared" si="64"/>
        <v>0.99895594741829563</v>
      </c>
      <c r="M151" s="6">
        <f t="shared" si="64"/>
        <v>0.94467549705041343</v>
      </c>
      <c r="N151" s="180">
        <f t="shared" si="64"/>
        <v>0.91820306719543865</v>
      </c>
    </row>
    <row r="152" spans="2:14" ht="13">
      <c r="B152" s="170" t="s">
        <v>44</v>
      </c>
      <c r="C152" s="6">
        <f>-C137*TAN(C149)</f>
        <v>-0.25279493727939895</v>
      </c>
      <c r="D152" s="6">
        <f t="shared" ref="D152:N152" si="65">-D137*TAN(D149)</f>
        <v>-0.15338368058429347</v>
      </c>
      <c r="E152" s="6">
        <f t="shared" si="65"/>
        <v>-3.1975821723054777E-2</v>
      </c>
      <c r="F152" s="6">
        <f t="shared" si="65"/>
        <v>0.10768216939983473</v>
      </c>
      <c r="G152" s="6">
        <f t="shared" si="65"/>
        <v>0.22097415676427687</v>
      </c>
      <c r="H152" s="6">
        <f t="shared" si="65"/>
        <v>0.27987273533703205</v>
      </c>
      <c r="I152" s="6">
        <f t="shared" si="65"/>
        <v>0.25603546149595474</v>
      </c>
      <c r="J152" s="6">
        <f t="shared" si="65"/>
        <v>0.15931229019496604</v>
      </c>
      <c r="K152" s="6">
        <f t="shared" si="65"/>
        <v>2.5139407787228688E-2</v>
      </c>
      <c r="L152" s="6">
        <f t="shared" si="65"/>
        <v>-2.9698452694306664E-2</v>
      </c>
      <c r="M152" s="6">
        <f t="shared" si="65"/>
        <v>-0.2254846814649849</v>
      </c>
      <c r="N152" s="180">
        <f t="shared" si="65"/>
        <v>-0.2801524489224414</v>
      </c>
    </row>
    <row r="153" spans="2:14" ht="13">
      <c r="B153" s="170" t="s">
        <v>44</v>
      </c>
      <c r="C153" s="6">
        <f t="shared" ref="C153:N153" si="66">ATAN(SQRT(1-C152^2)/C152)/C128</f>
        <v>-75.357035975139581</v>
      </c>
      <c r="D153" s="6">
        <f t="shared" si="66"/>
        <v>-81.176932953233873</v>
      </c>
      <c r="E153" s="6">
        <f t="shared" si="66"/>
        <v>-88.167608022467178</v>
      </c>
      <c r="F153" s="6">
        <f t="shared" si="66"/>
        <v>83.818280042663901</v>
      </c>
      <c r="G153" s="6">
        <f t="shared" si="66"/>
        <v>77.233743659218291</v>
      </c>
      <c r="H153" s="6">
        <f t="shared" si="66"/>
        <v>73.747390694945281</v>
      </c>
      <c r="I153" s="6">
        <f t="shared" si="66"/>
        <v>75.165050235055276</v>
      </c>
      <c r="J153" s="6">
        <f t="shared" si="66"/>
        <v>80.833018649384044</v>
      </c>
      <c r="K153" s="6">
        <f t="shared" si="66"/>
        <v>88.559466273378604</v>
      </c>
      <c r="L153" s="6">
        <f t="shared" si="66"/>
        <v>-88.298153769146509</v>
      </c>
      <c r="M153" s="6">
        <f t="shared" si="66"/>
        <v>-76.968619195469273</v>
      </c>
      <c r="N153" s="180">
        <f t="shared" si="66"/>
        <v>-73.730696456088936</v>
      </c>
    </row>
    <row r="154" spans="2:14" ht="13">
      <c r="B154" s="170" t="s">
        <v>44</v>
      </c>
      <c r="C154" s="6">
        <f t="shared" ref="C154:N154" si="67">IF(C153&lt;0,C153+180,C153)</f>
        <v>104.64296402486042</v>
      </c>
      <c r="D154" s="6">
        <f t="shared" si="67"/>
        <v>98.823067046766127</v>
      </c>
      <c r="E154" s="6">
        <f t="shared" si="67"/>
        <v>91.832391977532822</v>
      </c>
      <c r="F154" s="6">
        <f t="shared" si="67"/>
        <v>83.818280042663901</v>
      </c>
      <c r="G154" s="6">
        <f t="shared" si="67"/>
        <v>77.233743659218291</v>
      </c>
      <c r="H154" s="6">
        <f t="shared" si="67"/>
        <v>73.747390694945281</v>
      </c>
      <c r="I154" s="6">
        <f t="shared" si="67"/>
        <v>75.165050235055276</v>
      </c>
      <c r="J154" s="6">
        <f t="shared" si="67"/>
        <v>80.833018649384044</v>
      </c>
      <c r="K154" s="6">
        <f t="shared" si="67"/>
        <v>88.559466273378604</v>
      </c>
      <c r="L154" s="6">
        <f t="shared" si="67"/>
        <v>91.701846230853491</v>
      </c>
      <c r="M154" s="6">
        <f t="shared" si="67"/>
        <v>103.03138080453073</v>
      </c>
      <c r="N154" s="180">
        <f t="shared" si="67"/>
        <v>106.26930354391106</v>
      </c>
    </row>
    <row r="155" spans="2:14" ht="13">
      <c r="B155" s="170" t="s">
        <v>52</v>
      </c>
      <c r="C155" s="6">
        <f t="shared" ref="C155:N155" si="68">C154*C128</f>
        <v>1.8263642612797917</v>
      </c>
      <c r="D155" s="6">
        <f t="shared" si="68"/>
        <v>1.724787896885178</v>
      </c>
      <c r="E155" s="6">
        <f t="shared" si="68"/>
        <v>1.6027775999899743</v>
      </c>
      <c r="F155" s="6">
        <f t="shared" si="68"/>
        <v>1.4629049601031383</v>
      </c>
      <c r="G155" s="6">
        <f t="shared" si="68"/>
        <v>1.3479831204946526</v>
      </c>
      <c r="H155" s="6">
        <f t="shared" si="68"/>
        <v>1.2871347823814243</v>
      </c>
      <c r="I155" s="6">
        <f t="shared" si="68"/>
        <v>1.3118776090286524</v>
      </c>
      <c r="J155" s="6">
        <f t="shared" si="68"/>
        <v>1.4108023197577315</v>
      </c>
      <c r="K155" s="6">
        <f t="shared" si="68"/>
        <v>1.5456542702793294</v>
      </c>
      <c r="L155" s="6">
        <f t="shared" si="68"/>
        <v>1.6004991468859455</v>
      </c>
      <c r="M155" s="6">
        <f t="shared" si="68"/>
        <v>1.7982368279151453</v>
      </c>
      <c r="N155" s="180">
        <f t="shared" si="68"/>
        <v>1.8547492406425266</v>
      </c>
    </row>
    <row r="156" spans="2:14" ht="13">
      <c r="B156" s="25" t="s">
        <v>45</v>
      </c>
      <c r="C156" s="6">
        <f>-C141*TAN(C149)</f>
        <v>-0.66005889210248447</v>
      </c>
      <c r="D156" s="6">
        <f t="shared" ref="D156:N156" si="69">-D141*TAN(D149)</f>
        <v>-0.40049165288928695</v>
      </c>
      <c r="E156" s="6">
        <f t="shared" si="69"/>
        <v>-8.349030122094174E-2</v>
      </c>
      <c r="F156" s="6">
        <f t="shared" si="69"/>
        <v>0.28116296235272437</v>
      </c>
      <c r="G156" s="6">
        <f t="shared" si="69"/>
        <v>0.57697341041250183</v>
      </c>
      <c r="H156" s="6">
        <f t="shared" si="69"/>
        <v>0.73076023437953419</v>
      </c>
      <c r="I156" s="6">
        <f t="shared" si="69"/>
        <v>0.66852004582348268</v>
      </c>
      <c r="J156" s="6">
        <f t="shared" si="69"/>
        <v>0.41597151784798908</v>
      </c>
      <c r="K156" s="6">
        <f t="shared" si="69"/>
        <v>6.564011855115183E-2</v>
      </c>
      <c r="L156" s="6">
        <f t="shared" si="69"/>
        <v>-7.7543988789998561E-2</v>
      </c>
      <c r="M156" s="6">
        <f t="shared" si="69"/>
        <v>-0.58875059222156512</v>
      </c>
      <c r="N156" s="180">
        <f t="shared" si="69"/>
        <v>-0.73149057906633175</v>
      </c>
    </row>
    <row r="157" spans="2:14" ht="13">
      <c r="B157" s="25" t="s">
        <v>45</v>
      </c>
      <c r="C157" s="6">
        <f t="shared" ref="C157:N157" si="70">ATAN(SQRT(1-C156^2)/C156)/C128</f>
        <v>-48.695635607554891</v>
      </c>
      <c r="D157" s="6">
        <f t="shared" si="70"/>
        <v>-66.391082329382797</v>
      </c>
      <c r="E157" s="6">
        <f t="shared" si="70"/>
        <v>-85.210783104483895</v>
      </c>
      <c r="F157" s="6">
        <f t="shared" si="70"/>
        <v>73.670373805516775</v>
      </c>
      <c r="G157" s="6">
        <f t="shared" si="70"/>
        <v>54.762051206614331</v>
      </c>
      <c r="H157" s="6">
        <f t="shared" si="70"/>
        <v>43.049834902721138</v>
      </c>
      <c r="I157" s="6">
        <f t="shared" si="70"/>
        <v>48.047056259708206</v>
      </c>
      <c r="J157" s="6">
        <f t="shared" si="70"/>
        <v>65.419487500694984</v>
      </c>
      <c r="K157" s="6">
        <f t="shared" si="70"/>
        <v>86.23639227111083</v>
      </c>
      <c r="L157" s="6">
        <f t="shared" si="70"/>
        <v>-85.552592002513919</v>
      </c>
      <c r="M157" s="6">
        <f t="shared" si="70"/>
        <v>-53.931603522593392</v>
      </c>
      <c r="N157" s="180">
        <f t="shared" si="70"/>
        <v>-42.988499467627001</v>
      </c>
    </row>
    <row r="158" spans="2:14" ht="13">
      <c r="B158" s="25" t="s">
        <v>45</v>
      </c>
      <c r="C158" s="6">
        <f t="shared" ref="C158:N158" si="71">IF(C157&lt;0,C157+180,C157)</f>
        <v>131.30436439244511</v>
      </c>
      <c r="D158" s="6">
        <f t="shared" si="71"/>
        <v>113.6089176706172</v>
      </c>
      <c r="E158" s="6">
        <f t="shared" si="71"/>
        <v>94.789216895516105</v>
      </c>
      <c r="F158" s="6">
        <f t="shared" si="71"/>
        <v>73.670373805516775</v>
      </c>
      <c r="G158" s="6">
        <f t="shared" si="71"/>
        <v>54.762051206614331</v>
      </c>
      <c r="H158" s="6">
        <f t="shared" si="71"/>
        <v>43.049834902721138</v>
      </c>
      <c r="I158" s="6">
        <f t="shared" si="71"/>
        <v>48.047056259708206</v>
      </c>
      <c r="J158" s="6">
        <f t="shared" si="71"/>
        <v>65.419487500694984</v>
      </c>
      <c r="K158" s="6">
        <f t="shared" si="71"/>
        <v>86.23639227111083</v>
      </c>
      <c r="L158" s="6">
        <f t="shared" si="71"/>
        <v>94.447407997486081</v>
      </c>
      <c r="M158" s="6">
        <f t="shared" si="71"/>
        <v>126.06839647740661</v>
      </c>
      <c r="N158" s="180">
        <f t="shared" si="71"/>
        <v>137.01150053237299</v>
      </c>
    </row>
    <row r="159" spans="2:14" ht="13">
      <c r="B159" s="25" t="s">
        <v>46</v>
      </c>
      <c r="C159" s="6">
        <f t="shared" ref="C159:N159" si="72">C158*C128</f>
        <v>2.291693480886571</v>
      </c>
      <c r="D159" s="6">
        <f t="shared" si="72"/>
        <v>1.9828496729794369</v>
      </c>
      <c r="E159" s="6">
        <f t="shared" si="72"/>
        <v>1.6543839302137939</v>
      </c>
      <c r="F159" s="6">
        <f t="shared" si="72"/>
        <v>1.2857905840812525</v>
      </c>
      <c r="G159" s="6">
        <f t="shared" si="72"/>
        <v>0.9557780987011536</v>
      </c>
      <c r="H159" s="6">
        <f t="shared" si="72"/>
        <v>0.75136136149245669</v>
      </c>
      <c r="I159" s="6">
        <f t="shared" si="72"/>
        <v>0.83857932762285992</v>
      </c>
      <c r="J159" s="6">
        <f t="shared" si="72"/>
        <v>1.1417854518544037</v>
      </c>
      <c r="K159" s="6">
        <f t="shared" si="72"/>
        <v>1.5051089801722746</v>
      </c>
      <c r="L159" s="6">
        <f t="shared" si="72"/>
        <v>1.6484182395305564</v>
      </c>
      <c r="M159" s="6">
        <f t="shared" si="72"/>
        <v>2.2003086012403665</v>
      </c>
      <c r="N159" s="180">
        <f t="shared" si="72"/>
        <v>2.3913017973878725</v>
      </c>
    </row>
    <row r="160" spans="2:14" ht="13">
      <c r="B160" s="170" t="s">
        <v>47</v>
      </c>
      <c r="C160" s="6">
        <f>C155*C135*C150+C136*C151*SIN(C155)</f>
        <v>1.1169951152829716</v>
      </c>
      <c r="D160" s="6">
        <f t="shared" ref="D160:N160" si="73">D155*D135*D150+D136*D151*SIN(D155)</f>
        <v>1.0224871595686147</v>
      </c>
      <c r="E160" s="6">
        <f t="shared" si="73"/>
        <v>0.88015739213312139</v>
      </c>
      <c r="F160" s="6">
        <f t="shared" si="73"/>
        <v>0.69222740934784766</v>
      </c>
      <c r="G160" s="6">
        <f t="shared" si="73"/>
        <v>0.53784000745338212</v>
      </c>
      <c r="H160" s="6">
        <f t="shared" si="73"/>
        <v>0.4619627049485312</v>
      </c>
      <c r="I160" s="6">
        <f t="shared" si="73"/>
        <v>0.49214782785352545</v>
      </c>
      <c r="J160" s="6">
        <f t="shared" si="73"/>
        <v>0.6210464443360949</v>
      </c>
      <c r="K160" s="6">
        <f t="shared" si="73"/>
        <v>0.8052143214044124</v>
      </c>
      <c r="L160" s="6">
        <f t="shared" si="73"/>
        <v>0.87724776486471778</v>
      </c>
      <c r="M160" s="6">
        <f t="shared" si="73"/>
        <v>1.0931141283331729</v>
      </c>
      <c r="N160" s="180">
        <f t="shared" si="73"/>
        <v>1.1393708135012601</v>
      </c>
    </row>
    <row r="161" spans="2:15" ht="13">
      <c r="B161" s="170" t="s">
        <v>47</v>
      </c>
      <c r="C161" s="6">
        <f t="shared" ref="C161:N161" si="74">C146*(1+0.033*COS(C148*C147))*C160</f>
        <v>42889.705938732419</v>
      </c>
      <c r="D161" s="6">
        <f t="shared" si="74"/>
        <v>38928.979367638691</v>
      </c>
      <c r="E161" s="6">
        <f t="shared" si="74"/>
        <v>33067.042715566859</v>
      </c>
      <c r="F161" s="6">
        <f t="shared" si="74"/>
        <v>25558.580112683896</v>
      </c>
      <c r="G161" s="6">
        <f t="shared" si="74"/>
        <v>19561.435775166199</v>
      </c>
      <c r="H161" s="6">
        <f t="shared" si="74"/>
        <v>16645.179397969245</v>
      </c>
      <c r="I161" s="6">
        <f t="shared" si="74"/>
        <v>17724.824278593533</v>
      </c>
      <c r="J161" s="6">
        <f t="shared" si="74"/>
        <v>22559.660002769513</v>
      </c>
      <c r="K161" s="6">
        <f t="shared" si="74"/>
        <v>29697.36086866746</v>
      </c>
      <c r="L161" s="6">
        <f t="shared" si="74"/>
        <v>32573.050634341915</v>
      </c>
      <c r="M161" s="6">
        <f t="shared" si="74"/>
        <v>41617.947912724703</v>
      </c>
      <c r="N161" s="180">
        <f t="shared" si="74"/>
        <v>43742.524499511528</v>
      </c>
    </row>
    <row r="162" spans="2:15" ht="13">
      <c r="B162" s="170" t="s">
        <v>53</v>
      </c>
      <c r="C162" s="6">
        <f>VLOOKUP('Inclination angle'!$P$12,$A$3:$O$71,3,FALSE)*86.01</f>
        <v>15739.830000000002</v>
      </c>
      <c r="D162" s="6">
        <f>VLOOKUP('Inclination angle'!$P$12,$A$3:$O$71,4,FALSE)*86.01</f>
        <v>13417.560000000001</v>
      </c>
      <c r="E162" s="6">
        <f>VLOOKUP('Inclination angle'!$P$12,$A$3:$O$71,5,FALSE)*86.01</f>
        <v>10837.26</v>
      </c>
      <c r="F162" s="6">
        <f>VLOOKUP('Inclination angle'!$P$12,$A$3:$O$71,6,FALSE)*86.01</f>
        <v>7224.84</v>
      </c>
      <c r="G162" s="6">
        <f>VLOOKUP('Inclination angle'!$P$12,$A$3:$O$71,7,FALSE)*86.01</f>
        <v>4902.5700000000006</v>
      </c>
      <c r="H162" s="6">
        <f>VLOOKUP('Inclination angle'!$P$12,$A$3:$O$71,8,FALSE)*86.01</f>
        <v>3870.4500000000003</v>
      </c>
      <c r="I162" s="6">
        <f>VLOOKUP('Inclination angle'!$P$12,$A$3:$O$71,9,FALSE)*86.01</f>
        <v>4644.54</v>
      </c>
      <c r="J162" s="6">
        <f>VLOOKUP('Inclination angle'!$P$12,$A$3:$O$71,10,FALSE)*86.01</f>
        <v>6708.7800000000007</v>
      </c>
      <c r="K162" s="6">
        <f>VLOOKUP('Inclination angle'!$P$12,$A$3:$O$71,11,FALSE)*86.01</f>
        <v>9289.08</v>
      </c>
      <c r="L162" s="6">
        <f>VLOOKUP('Inclination angle'!$P$12,$A$3:$O$71,12,FALSE)*86.01</f>
        <v>11611.35</v>
      </c>
      <c r="M162" s="6">
        <f>VLOOKUP('Inclination angle'!$P$12,$A$3:$O$71,13,FALSE)*86.01</f>
        <v>14449.68</v>
      </c>
      <c r="N162" s="180">
        <f>VLOOKUP('Inclination angle'!$P$12,$A$3:$O$71,14,FALSE)*86.01</f>
        <v>15739.830000000002</v>
      </c>
    </row>
    <row r="163" spans="2:15" ht="13">
      <c r="B163" s="170" t="s">
        <v>48</v>
      </c>
      <c r="C163" s="6">
        <f t="shared" ref="C163:N163" si="75">C162/C161</f>
        <v>0.36698386373840414</v>
      </c>
      <c r="D163" s="6">
        <f t="shared" si="75"/>
        <v>0.34466765422455176</v>
      </c>
      <c r="E163" s="6">
        <f t="shared" si="75"/>
        <v>0.32773599058189079</v>
      </c>
      <c r="F163" s="6">
        <f t="shared" si="75"/>
        <v>0.28267767490004447</v>
      </c>
      <c r="G163" s="6">
        <f t="shared" si="75"/>
        <v>0.25062424130563837</v>
      </c>
      <c r="H163" s="6">
        <f t="shared" si="75"/>
        <v>0.23252678192655618</v>
      </c>
      <c r="I163" s="6">
        <f t="shared" si="75"/>
        <v>0.26203588407977974</v>
      </c>
      <c r="J163" s="6">
        <f t="shared" si="75"/>
        <v>0.29737948174646267</v>
      </c>
      <c r="K163" s="6">
        <f t="shared" si="75"/>
        <v>0.31279143089783951</v>
      </c>
      <c r="L163" s="6">
        <f t="shared" si="75"/>
        <v>0.35647106346735918</v>
      </c>
      <c r="M163" s="6">
        <f t="shared" si="75"/>
        <v>0.34719828162363586</v>
      </c>
      <c r="N163" s="180">
        <f t="shared" si="75"/>
        <v>0.35982902633284847</v>
      </c>
    </row>
    <row r="164" spans="2:15" ht="13">
      <c r="B164" s="170" t="s">
        <v>49</v>
      </c>
      <c r="C164" s="6">
        <f t="shared" ref="C164:N164" si="76">C163</f>
        <v>0.36698386373840414</v>
      </c>
      <c r="D164" s="6">
        <f t="shared" si="76"/>
        <v>0.34466765422455176</v>
      </c>
      <c r="E164" s="6">
        <f t="shared" si="76"/>
        <v>0.32773599058189079</v>
      </c>
      <c r="F164" s="6">
        <f t="shared" si="76"/>
        <v>0.28267767490004447</v>
      </c>
      <c r="G164" s="6">
        <f t="shared" si="76"/>
        <v>0.25062424130563837</v>
      </c>
      <c r="H164" s="6">
        <f t="shared" si="76"/>
        <v>0.23252678192655618</v>
      </c>
      <c r="I164" s="6">
        <f t="shared" si="76"/>
        <v>0.26203588407977974</v>
      </c>
      <c r="J164" s="6">
        <f t="shared" si="76"/>
        <v>0.29737948174646267</v>
      </c>
      <c r="K164" s="6">
        <f t="shared" si="76"/>
        <v>0.31279143089783951</v>
      </c>
      <c r="L164" s="6">
        <f t="shared" si="76"/>
        <v>0.35647106346735918</v>
      </c>
      <c r="M164" s="6">
        <f t="shared" si="76"/>
        <v>0.34719828162363586</v>
      </c>
      <c r="N164" s="180">
        <f t="shared" si="76"/>
        <v>0.35982902633284847</v>
      </c>
    </row>
    <row r="165" spans="2:15" ht="13">
      <c r="B165" s="170" t="s">
        <v>50</v>
      </c>
      <c r="C165" s="6">
        <f>1.39-4.03*C163+5.53*C163^2-3.11*C163^3</f>
        <v>0.50210999595086325</v>
      </c>
      <c r="D165" s="6">
        <f t="shared" ref="D165:N165" si="77">1.39-4.03*D163+5.53*D163^2-3.11*D163^3</f>
        <v>0.53059092440270417</v>
      </c>
      <c r="E165" s="6">
        <f t="shared" si="77"/>
        <v>0.55372662350658697</v>
      </c>
      <c r="F165" s="6">
        <f t="shared" si="77"/>
        <v>0.62244468888591808</v>
      </c>
      <c r="G165" s="6">
        <f t="shared" si="77"/>
        <v>0.67837881927337285</v>
      </c>
      <c r="H165" s="6">
        <f t="shared" si="77"/>
        <v>0.71281677183707282</v>
      </c>
      <c r="I165" s="6">
        <f t="shared" si="77"/>
        <v>0.6577452071613652</v>
      </c>
      <c r="J165" s="6">
        <f t="shared" si="77"/>
        <v>0.59881506823328556</v>
      </c>
      <c r="K165" s="6">
        <f t="shared" si="77"/>
        <v>0.57532187576705285</v>
      </c>
      <c r="L165" s="6">
        <f t="shared" si="77"/>
        <v>0.51525289314036993</v>
      </c>
      <c r="M165" s="6">
        <f t="shared" si="77"/>
        <v>0.52724922107140038</v>
      </c>
      <c r="N165" s="180">
        <f t="shared" si="77"/>
        <v>0.51100291449670276</v>
      </c>
    </row>
    <row r="166" spans="2:15" ht="13">
      <c r="B166" s="170" t="s">
        <v>41</v>
      </c>
      <c r="C166" s="6">
        <f>C136*C151*SIN(C155)+C155*C135*C150</f>
        <v>1.1169951152829716</v>
      </c>
      <c r="D166" s="6">
        <f t="shared" ref="D166:N166" si="78">D136*D151*SIN(D155)+D155*D135*D150</f>
        <v>1.0224871595686147</v>
      </c>
      <c r="E166" s="6">
        <f t="shared" si="78"/>
        <v>0.88015739213312139</v>
      </c>
      <c r="F166" s="6">
        <f t="shared" si="78"/>
        <v>0.69222740934784766</v>
      </c>
      <c r="G166" s="6">
        <f t="shared" si="78"/>
        <v>0.53784000745338212</v>
      </c>
      <c r="H166" s="6">
        <f t="shared" si="78"/>
        <v>0.4619627049485312</v>
      </c>
      <c r="I166" s="6">
        <f t="shared" si="78"/>
        <v>0.49214782785352545</v>
      </c>
      <c r="J166" s="6">
        <f t="shared" si="78"/>
        <v>0.6210464443360949</v>
      </c>
      <c r="K166" s="6">
        <f t="shared" si="78"/>
        <v>0.8052143214044124</v>
      </c>
      <c r="L166" s="6">
        <f t="shared" si="78"/>
        <v>0.87724776486471778</v>
      </c>
      <c r="M166" s="6">
        <f t="shared" si="78"/>
        <v>1.0931141283331729</v>
      </c>
      <c r="N166" s="180">
        <f t="shared" si="78"/>
        <v>1.1393708135012601</v>
      </c>
    </row>
    <row r="167" spans="2:15" ht="13">
      <c r="B167" s="170" t="s">
        <v>41</v>
      </c>
      <c r="C167" s="6">
        <f t="shared" ref="C167:N167" si="79">(C140*C151*SIN(IF(C158&gt;C154,C155,C159))+IF(C158&gt;C154,C155,C159)*C139*C150)/C166</f>
        <v>0.92093897349579046</v>
      </c>
      <c r="D167" s="6">
        <f t="shared" si="79"/>
        <v>0.81178583900202894</v>
      </c>
      <c r="E167" s="6">
        <f t="shared" si="79"/>
        <v>0.65330403414276417</v>
      </c>
      <c r="F167" s="6">
        <f t="shared" si="79"/>
        <v>0.43303332966476071</v>
      </c>
      <c r="G167" s="6">
        <f t="shared" si="79"/>
        <v>0.23722254088936182</v>
      </c>
      <c r="H167" s="6">
        <f t="shared" si="79"/>
        <v>0.13488414381617428</v>
      </c>
      <c r="I167" s="6">
        <f t="shared" si="79"/>
        <v>0.17580969291760701</v>
      </c>
      <c r="J167" s="6">
        <f t="shared" si="79"/>
        <v>0.34511012054023943</v>
      </c>
      <c r="K167" s="6">
        <f t="shared" si="79"/>
        <v>0.56676213357197569</v>
      </c>
      <c r="L167" s="6">
        <f t="shared" si="79"/>
        <v>0.65000509654976146</v>
      </c>
      <c r="M167" s="6">
        <f t="shared" si="79"/>
        <v>0.89248433200790123</v>
      </c>
      <c r="N167" s="180">
        <f t="shared" si="79"/>
        <v>0.94840911292110308</v>
      </c>
    </row>
    <row r="168" spans="2:15" ht="13">
      <c r="B168" s="170" t="s">
        <v>51</v>
      </c>
      <c r="C168" s="6">
        <f t="shared" ref="C168:N168" si="80">((1-C165)*C167+C165*(1+C132)/2+0.2*(1-C132)/2)</f>
        <v>0.94480088763783476</v>
      </c>
      <c r="D168" s="6">
        <f t="shared" si="80"/>
        <v>0.89432228888380405</v>
      </c>
      <c r="E168" s="6">
        <f t="shared" si="80"/>
        <v>0.82673786257597182</v>
      </c>
      <c r="F168" s="6">
        <f t="shared" si="80"/>
        <v>0.76379583360001657</v>
      </c>
      <c r="G168" s="6">
        <f t="shared" si="80"/>
        <v>0.72959987709614693</v>
      </c>
      <c r="H168" s="6">
        <f t="shared" si="80"/>
        <v>0.72467339781083084</v>
      </c>
      <c r="I168" s="6">
        <f t="shared" si="80"/>
        <v>0.69392371409585452</v>
      </c>
      <c r="J168" s="6">
        <f t="shared" si="80"/>
        <v>0.71636373136504439</v>
      </c>
      <c r="K168" s="6">
        <f t="shared" si="80"/>
        <v>0.79634045924169639</v>
      </c>
      <c r="L168" s="6">
        <f t="shared" si="80"/>
        <v>0.81381666661151497</v>
      </c>
      <c r="M168" s="6">
        <f t="shared" si="80"/>
        <v>0.93201876736501632</v>
      </c>
      <c r="N168" s="180">
        <f t="shared" si="80"/>
        <v>0.95847065721657665</v>
      </c>
    </row>
    <row r="169" spans="2:15">
      <c r="B169" s="169"/>
      <c r="N169" s="180"/>
    </row>
    <row r="170" spans="2:15" ht="13">
      <c r="B170" s="27" t="s">
        <v>54</v>
      </c>
      <c r="C170" s="6">
        <f>C150*C135*C132</f>
        <v>0.17685869132422677</v>
      </c>
      <c r="D170" s="6">
        <f t="shared" ref="D170:N170" si="81">D150*D135*D132</f>
        <v>0.11206942290956534</v>
      </c>
      <c r="E170" s="6">
        <f t="shared" si="81"/>
        <v>2.3976830924299891E-2</v>
      </c>
      <c r="F170" s="6">
        <f t="shared" si="81"/>
        <v>-7.9753515589514976E-2</v>
      </c>
      <c r="G170" s="6">
        <f t="shared" si="81"/>
        <v>-0.15705339292877904</v>
      </c>
      <c r="H170" s="6">
        <f t="shared" si="81"/>
        <v>-0.19295819616163321</v>
      </c>
      <c r="I170" s="6">
        <f t="shared" si="81"/>
        <v>-0.1788224844897206</v>
      </c>
      <c r="J170" s="6">
        <f t="shared" si="81"/>
        <v>-0.11615958009762122</v>
      </c>
      <c r="K170" s="6">
        <f t="shared" si="81"/>
        <v>-1.8859308472408711E-2</v>
      </c>
      <c r="L170" s="6">
        <f t="shared" si="81"/>
        <v>2.2272863048040159E-2</v>
      </c>
      <c r="M170" s="6">
        <f t="shared" si="81"/>
        <v>0.15991734860101064</v>
      </c>
      <c r="N170" s="180">
        <f t="shared" si="81"/>
        <v>0.19312079884126093</v>
      </c>
    </row>
    <row r="171" spans="2:15" ht="13">
      <c r="B171" s="27" t="s">
        <v>54</v>
      </c>
      <c r="C171" s="6">
        <f t="shared" ref="C171:N171" si="82">C170-C150*C136*C131</f>
        <v>0.31246366303224726</v>
      </c>
      <c r="D171" s="6">
        <f t="shared" si="82"/>
        <v>0.19799774686807259</v>
      </c>
      <c r="E171" s="6">
        <f t="shared" si="82"/>
        <v>4.2360872187938325E-2</v>
      </c>
      <c r="F171" s="6">
        <f t="shared" si="82"/>
        <v>-0.1409038788775977</v>
      </c>
      <c r="G171" s="6">
        <f t="shared" si="82"/>
        <v>-0.27747281221370695</v>
      </c>
      <c r="H171" s="6">
        <f t="shared" si="82"/>
        <v>-0.34090733304266929</v>
      </c>
      <c r="I171" s="6">
        <f t="shared" si="82"/>
        <v>-0.31593317873053423</v>
      </c>
      <c r="J171" s="6">
        <f t="shared" si="82"/>
        <v>-0.20522399901202104</v>
      </c>
      <c r="K171" s="6">
        <f t="shared" si="82"/>
        <v>-3.3319530770138051E-2</v>
      </c>
      <c r="L171" s="6">
        <f t="shared" si="82"/>
        <v>3.9350400718773604E-2</v>
      </c>
      <c r="M171" s="6">
        <f t="shared" si="82"/>
        <v>0.28253268274315085</v>
      </c>
      <c r="N171" s="180">
        <f t="shared" si="82"/>
        <v>0.34119461001229356</v>
      </c>
    </row>
    <row r="172" spans="2:15" ht="13">
      <c r="B172" s="27" t="s">
        <v>54</v>
      </c>
      <c r="C172" s="6">
        <f t="shared" ref="C172:N172" si="83">C171+C151*C136*C132*C142</f>
        <v>0.86750418335142632</v>
      </c>
      <c r="D172" s="6">
        <f t="shared" si="83"/>
        <v>0.77765948579050659</v>
      </c>
      <c r="E172" s="6">
        <f t="shared" si="83"/>
        <v>0.6372509446978325</v>
      </c>
      <c r="F172" s="6">
        <f t="shared" si="83"/>
        <v>0.44668381874737173</v>
      </c>
      <c r="G172" s="6">
        <f t="shared" si="83"/>
        <v>0.28638875290602755</v>
      </c>
      <c r="H172" s="6">
        <f t="shared" si="83"/>
        <v>0.20606995389117311</v>
      </c>
      <c r="I172" s="6">
        <f t="shared" si="83"/>
        <v>0.23816747029748681</v>
      </c>
      <c r="J172" s="6">
        <f t="shared" si="83"/>
        <v>0.37323476750558582</v>
      </c>
      <c r="K172" s="6">
        <f t="shared" si="83"/>
        <v>0.56184545874760572</v>
      </c>
      <c r="L172" s="6">
        <f t="shared" si="83"/>
        <v>0.63433932081154842</v>
      </c>
      <c r="M172" s="6">
        <f t="shared" si="83"/>
        <v>0.8451915820477196</v>
      </c>
      <c r="N172" s="180">
        <f t="shared" si="83"/>
        <v>0.88808624501221534</v>
      </c>
    </row>
    <row r="173" spans="2:15" ht="13">
      <c r="B173" s="27" t="s">
        <v>54</v>
      </c>
      <c r="C173" s="6">
        <f t="shared" ref="C173:N173" si="84">C172+C151*C135*C131*C142</f>
        <v>0.68802725857241454</v>
      </c>
      <c r="D173" s="6">
        <f t="shared" si="84"/>
        <v>0.590221087141654</v>
      </c>
      <c r="E173" s="6">
        <f t="shared" si="84"/>
        <v>0.44488833892944457</v>
      </c>
      <c r="F173" s="6">
        <f t="shared" si="84"/>
        <v>0.25668249605643567</v>
      </c>
      <c r="G173" s="6">
        <f t="shared" si="84"/>
        <v>0.10405947062124088</v>
      </c>
      <c r="H173" s="6">
        <f t="shared" si="84"/>
        <v>2.9200342053824491E-2</v>
      </c>
      <c r="I173" s="6">
        <f t="shared" si="84"/>
        <v>5.8994460643316871E-2</v>
      </c>
      <c r="J173" s="6">
        <f t="shared" si="84"/>
        <v>0.18618535989415913</v>
      </c>
      <c r="K173" s="6">
        <f t="shared" si="84"/>
        <v>0.36939395629990879</v>
      </c>
      <c r="L173" s="6">
        <f t="shared" si="84"/>
        <v>0.44194475186290999</v>
      </c>
      <c r="M173" s="6">
        <f t="shared" si="84"/>
        <v>0.66325119166206614</v>
      </c>
      <c r="N173" s="180">
        <f t="shared" si="84"/>
        <v>0.7112443294333175</v>
      </c>
    </row>
    <row r="174" spans="2:15" ht="13">
      <c r="B174" s="27" t="s">
        <v>54</v>
      </c>
      <c r="C174" s="6">
        <f t="shared" ref="C174:N174" si="85">ATAN(SQRT(1-C173^2)/C173)/C128</f>
        <v>46.525848551341028</v>
      </c>
      <c r="D174" s="6">
        <f t="shared" si="85"/>
        <v>53.827301215708488</v>
      </c>
      <c r="E174" s="6">
        <f t="shared" si="85"/>
        <v>63.583805054909448</v>
      </c>
      <c r="F174" s="6">
        <f t="shared" si="85"/>
        <v>75.126696154369725</v>
      </c>
      <c r="G174" s="6">
        <f t="shared" si="85"/>
        <v>84.027018645324006</v>
      </c>
      <c r="H174" s="6">
        <f t="shared" si="85"/>
        <v>88.326705790671468</v>
      </c>
      <c r="I174" s="6">
        <f t="shared" si="85"/>
        <v>86.617902640759482</v>
      </c>
      <c r="J174" s="6">
        <f t="shared" si="85"/>
        <v>79.269750694239121</v>
      </c>
      <c r="K174" s="6">
        <f t="shared" si="85"/>
        <v>68.321754140292526</v>
      </c>
      <c r="L174" s="6">
        <f t="shared" si="85"/>
        <v>63.771970066402801</v>
      </c>
      <c r="M174" s="6">
        <f t="shared" si="85"/>
        <v>48.451698946370335</v>
      </c>
      <c r="N174" s="180">
        <f t="shared" si="85"/>
        <v>44.663752218074464</v>
      </c>
    </row>
    <row r="176" spans="2:15">
      <c r="C176" s="14">
        <f>C162*C168*1.05</f>
        <v>15614.555623032054</v>
      </c>
      <c r="D176" s="14">
        <f t="shared" ref="D176:N176" si="86">D162*D168*1.05</f>
        <v>12599.604118957564</v>
      </c>
      <c r="E176" s="14">
        <f t="shared" si="86"/>
        <v>9407.5518270090815</v>
      </c>
      <c r="F176" s="14">
        <f t="shared" si="86"/>
        <v>5794.2178249480812</v>
      </c>
      <c r="G176" s="14">
        <f t="shared" si="86"/>
        <v>3755.7601929280204</v>
      </c>
      <c r="H176" s="14">
        <f t="shared" si="86"/>
        <v>2945.0527601847771</v>
      </c>
      <c r="I176" s="14">
        <f t="shared" si="86"/>
        <v>3384.1042694200983</v>
      </c>
      <c r="J176" s="14">
        <f t="shared" si="86"/>
        <v>5046.2230073925421</v>
      </c>
      <c r="K176" s="14">
        <f t="shared" si="86"/>
        <v>7767.1337447895003</v>
      </c>
      <c r="L176" s="14">
        <f t="shared" si="86"/>
        <v>9921.9856594525954</v>
      </c>
      <c r="M176" s="14">
        <f t="shared" si="86"/>
        <v>14140.741589539877</v>
      </c>
      <c r="N176" s="14">
        <f t="shared" si="86"/>
        <v>15840.473464806051</v>
      </c>
      <c r="O176" s="14">
        <f>SUM(C176:N176)/86.01</f>
        <v>1234.9424960174426</v>
      </c>
    </row>
    <row r="180" spans="2:14" ht="13" thickBot="1"/>
    <row r="181" spans="2:14" ht="13">
      <c r="B181" s="23" t="s">
        <v>20</v>
      </c>
      <c r="C181" s="24">
        <f>PI()/180</f>
        <v>1.7453292519943295E-2</v>
      </c>
      <c r="D181" s="24">
        <f t="shared" ref="D181:N181" si="87">PI()/180</f>
        <v>1.7453292519943295E-2</v>
      </c>
      <c r="E181" s="24">
        <f t="shared" si="87"/>
        <v>1.7453292519943295E-2</v>
      </c>
      <c r="F181" s="24">
        <f t="shared" si="87"/>
        <v>1.7453292519943295E-2</v>
      </c>
      <c r="G181" s="24">
        <f t="shared" si="87"/>
        <v>1.7453292519943295E-2</v>
      </c>
      <c r="H181" s="24">
        <f t="shared" si="87"/>
        <v>1.7453292519943295E-2</v>
      </c>
      <c r="I181" s="24">
        <f t="shared" si="87"/>
        <v>1.7453292519943295E-2</v>
      </c>
      <c r="J181" s="24">
        <f t="shared" si="87"/>
        <v>1.7453292519943295E-2</v>
      </c>
      <c r="K181" s="24">
        <f t="shared" si="87"/>
        <v>1.7453292519943295E-2</v>
      </c>
      <c r="L181" s="24">
        <f t="shared" si="87"/>
        <v>1.7453292519943295E-2</v>
      </c>
      <c r="M181" s="24">
        <f t="shared" si="87"/>
        <v>1.7453292519943295E-2</v>
      </c>
      <c r="N181" s="26">
        <f t="shared" si="87"/>
        <v>1.7453292519943295E-2</v>
      </c>
    </row>
    <row r="182" spans="2:14">
      <c r="B182" s="169" t="s">
        <v>30</v>
      </c>
      <c r="C182" s="6">
        <f>'Inclination angle'!$AG$25</f>
        <v>18</v>
      </c>
      <c r="D182" s="6">
        <f>'Inclination angle'!$AG$25</f>
        <v>18</v>
      </c>
      <c r="E182" s="6">
        <f>'Inclination angle'!$AG$25</f>
        <v>18</v>
      </c>
      <c r="F182" s="6">
        <f>'Inclination angle'!$AG$25</f>
        <v>18</v>
      </c>
      <c r="G182" s="6">
        <f>'Inclination angle'!$AG$25</f>
        <v>18</v>
      </c>
      <c r="H182" s="6">
        <f>'Inclination angle'!$AG$25</f>
        <v>18</v>
      </c>
      <c r="I182" s="6">
        <f>'Inclination angle'!$AG$25</f>
        <v>18</v>
      </c>
      <c r="J182" s="6">
        <f>'Inclination angle'!$AG$25</f>
        <v>18</v>
      </c>
      <c r="K182" s="6">
        <f>'Inclination angle'!$AG$25</f>
        <v>18</v>
      </c>
      <c r="L182" s="6">
        <f>'Inclination angle'!$AG$25</f>
        <v>18</v>
      </c>
      <c r="M182" s="6">
        <f>'Inclination angle'!$AG$25</f>
        <v>18</v>
      </c>
      <c r="N182" s="180">
        <f>'Inclination angle'!$AG$25</f>
        <v>18</v>
      </c>
    </row>
    <row r="183" spans="2:14">
      <c r="B183" s="169" t="s">
        <v>31</v>
      </c>
      <c r="C183" s="6">
        <f t="shared" ref="C183:N183" si="88">C182*C181</f>
        <v>0.31415926535897931</v>
      </c>
      <c r="D183" s="6">
        <f t="shared" si="88"/>
        <v>0.31415926535897931</v>
      </c>
      <c r="E183" s="6">
        <f t="shared" si="88"/>
        <v>0.31415926535897931</v>
      </c>
      <c r="F183" s="6">
        <f t="shared" si="88"/>
        <v>0.31415926535897931</v>
      </c>
      <c r="G183" s="6">
        <f t="shared" si="88"/>
        <v>0.31415926535897931</v>
      </c>
      <c r="H183" s="6">
        <f t="shared" si="88"/>
        <v>0.31415926535897931</v>
      </c>
      <c r="I183" s="6">
        <f t="shared" si="88"/>
        <v>0.31415926535897931</v>
      </c>
      <c r="J183" s="6">
        <f t="shared" si="88"/>
        <v>0.31415926535897931</v>
      </c>
      <c r="K183" s="6">
        <f t="shared" si="88"/>
        <v>0.31415926535897931</v>
      </c>
      <c r="L183" s="6">
        <f t="shared" si="88"/>
        <v>0.31415926535897931</v>
      </c>
      <c r="M183" s="6">
        <f t="shared" si="88"/>
        <v>0.31415926535897931</v>
      </c>
      <c r="N183" s="180">
        <f t="shared" si="88"/>
        <v>0.31415926535897931</v>
      </c>
    </row>
    <row r="184" spans="2:14">
      <c r="B184" s="169" t="s">
        <v>32</v>
      </c>
      <c r="C184" s="6">
        <f t="shared" ref="C184:N184" si="89">SIN(C183)</f>
        <v>0.3090169943749474</v>
      </c>
      <c r="D184" s="6">
        <f t="shared" si="89"/>
        <v>0.3090169943749474</v>
      </c>
      <c r="E184" s="6">
        <f t="shared" si="89"/>
        <v>0.3090169943749474</v>
      </c>
      <c r="F184" s="6">
        <f t="shared" si="89"/>
        <v>0.3090169943749474</v>
      </c>
      <c r="G184" s="6">
        <f t="shared" si="89"/>
        <v>0.3090169943749474</v>
      </c>
      <c r="H184" s="6">
        <f t="shared" si="89"/>
        <v>0.3090169943749474</v>
      </c>
      <c r="I184" s="6">
        <f t="shared" si="89"/>
        <v>0.3090169943749474</v>
      </c>
      <c r="J184" s="6">
        <f t="shared" si="89"/>
        <v>0.3090169943749474</v>
      </c>
      <c r="K184" s="6">
        <f t="shared" si="89"/>
        <v>0.3090169943749474</v>
      </c>
      <c r="L184" s="6">
        <f t="shared" si="89"/>
        <v>0.3090169943749474</v>
      </c>
      <c r="M184" s="6">
        <f t="shared" si="89"/>
        <v>0.3090169943749474</v>
      </c>
      <c r="N184" s="180">
        <f t="shared" si="89"/>
        <v>0.3090169943749474</v>
      </c>
    </row>
    <row r="185" spans="2:14">
      <c r="B185" s="169" t="s">
        <v>33</v>
      </c>
      <c r="C185" s="6">
        <f>COS(C183)</f>
        <v>0.95105651629515353</v>
      </c>
      <c r="D185" s="6">
        <f t="shared" ref="D185:N185" si="90">COS(D183)</f>
        <v>0.95105651629515353</v>
      </c>
      <c r="E185" s="6">
        <f t="shared" si="90"/>
        <v>0.95105651629515353</v>
      </c>
      <c r="F185" s="6">
        <f t="shared" si="90"/>
        <v>0.95105651629515353</v>
      </c>
      <c r="G185" s="6">
        <f t="shared" si="90"/>
        <v>0.95105651629515353</v>
      </c>
      <c r="H185" s="6">
        <f t="shared" si="90"/>
        <v>0.95105651629515353</v>
      </c>
      <c r="I185" s="6">
        <f t="shared" si="90"/>
        <v>0.95105651629515353</v>
      </c>
      <c r="J185" s="6">
        <f t="shared" si="90"/>
        <v>0.95105651629515353</v>
      </c>
      <c r="K185" s="6">
        <f t="shared" si="90"/>
        <v>0.95105651629515353</v>
      </c>
      <c r="L185" s="6">
        <f t="shared" si="90"/>
        <v>0.95105651629515353</v>
      </c>
      <c r="M185" s="6">
        <f t="shared" si="90"/>
        <v>0.95105651629515353</v>
      </c>
      <c r="N185" s="180">
        <f t="shared" si="90"/>
        <v>0.95105651629515353</v>
      </c>
    </row>
    <row r="186" spans="2:14">
      <c r="B186" s="169" t="s">
        <v>34</v>
      </c>
      <c r="C186" s="6">
        <f>'Inclination angle'!$S$9</f>
        <v>-33</v>
      </c>
      <c r="D186" s="6">
        <f>C186</f>
        <v>-33</v>
      </c>
      <c r="E186" s="6">
        <f t="shared" ref="E186:N186" si="91">D186</f>
        <v>-33</v>
      </c>
      <c r="F186" s="6">
        <f t="shared" si="91"/>
        <v>-33</v>
      </c>
      <c r="G186" s="6">
        <f t="shared" si="91"/>
        <v>-33</v>
      </c>
      <c r="H186" s="6">
        <f t="shared" si="91"/>
        <v>-33</v>
      </c>
      <c r="I186" s="6">
        <f t="shared" si="91"/>
        <v>-33</v>
      </c>
      <c r="J186" s="6">
        <f t="shared" si="91"/>
        <v>-33</v>
      </c>
      <c r="K186" s="6">
        <f t="shared" si="91"/>
        <v>-33</v>
      </c>
      <c r="L186" s="6">
        <f t="shared" si="91"/>
        <v>-33</v>
      </c>
      <c r="M186" s="6">
        <f t="shared" si="91"/>
        <v>-33</v>
      </c>
      <c r="N186" s="180">
        <f t="shared" si="91"/>
        <v>-33</v>
      </c>
    </row>
    <row r="187" spans="2:14">
      <c r="B187" s="169" t="s">
        <v>35</v>
      </c>
      <c r="C187" s="6">
        <f t="shared" ref="C187:N187" si="92">C186*C181</f>
        <v>-0.57595865315812877</v>
      </c>
      <c r="D187" s="6">
        <f t="shared" si="92"/>
        <v>-0.57595865315812877</v>
      </c>
      <c r="E187" s="6">
        <f t="shared" si="92"/>
        <v>-0.57595865315812877</v>
      </c>
      <c r="F187" s="6">
        <f t="shared" si="92"/>
        <v>-0.57595865315812877</v>
      </c>
      <c r="G187" s="6">
        <f t="shared" si="92"/>
        <v>-0.57595865315812877</v>
      </c>
      <c r="H187" s="6">
        <f t="shared" si="92"/>
        <v>-0.57595865315812877</v>
      </c>
      <c r="I187" s="6">
        <f t="shared" si="92"/>
        <v>-0.57595865315812877</v>
      </c>
      <c r="J187" s="6">
        <f t="shared" si="92"/>
        <v>-0.57595865315812877</v>
      </c>
      <c r="K187" s="6">
        <f t="shared" si="92"/>
        <v>-0.57595865315812877</v>
      </c>
      <c r="L187" s="6">
        <f t="shared" si="92"/>
        <v>-0.57595865315812877</v>
      </c>
      <c r="M187" s="6">
        <f t="shared" si="92"/>
        <v>-0.57595865315812877</v>
      </c>
      <c r="N187" s="180">
        <f t="shared" si="92"/>
        <v>-0.57595865315812877</v>
      </c>
    </row>
    <row r="188" spans="2:14">
      <c r="B188" s="169" t="s">
        <v>21</v>
      </c>
      <c r="C188" s="6">
        <f t="shared" ref="C188:N188" si="93">SIN(C187)</f>
        <v>-0.54463903501502708</v>
      </c>
      <c r="D188" s="6">
        <f t="shared" si="93"/>
        <v>-0.54463903501502708</v>
      </c>
      <c r="E188" s="6">
        <f t="shared" si="93"/>
        <v>-0.54463903501502708</v>
      </c>
      <c r="F188" s="6">
        <f t="shared" si="93"/>
        <v>-0.54463903501502708</v>
      </c>
      <c r="G188" s="6">
        <f t="shared" si="93"/>
        <v>-0.54463903501502708</v>
      </c>
      <c r="H188" s="6">
        <f t="shared" si="93"/>
        <v>-0.54463903501502708</v>
      </c>
      <c r="I188" s="6">
        <f t="shared" si="93"/>
        <v>-0.54463903501502708</v>
      </c>
      <c r="J188" s="6">
        <f t="shared" si="93"/>
        <v>-0.54463903501502708</v>
      </c>
      <c r="K188" s="6">
        <f t="shared" si="93"/>
        <v>-0.54463903501502708</v>
      </c>
      <c r="L188" s="6">
        <f t="shared" si="93"/>
        <v>-0.54463903501502708</v>
      </c>
      <c r="M188" s="6">
        <f t="shared" si="93"/>
        <v>-0.54463903501502708</v>
      </c>
      <c r="N188" s="180">
        <f t="shared" si="93"/>
        <v>-0.54463903501502708</v>
      </c>
    </row>
    <row r="189" spans="2:14">
      <c r="B189" s="169" t="s">
        <v>22</v>
      </c>
      <c r="C189" s="6">
        <f>COS(C187)</f>
        <v>0.83867056794542405</v>
      </c>
      <c r="D189" s="6">
        <f t="shared" ref="D189:N189" si="94">COS(D187)</f>
        <v>0.83867056794542405</v>
      </c>
      <c r="E189" s="6">
        <f t="shared" si="94"/>
        <v>0.83867056794542405</v>
      </c>
      <c r="F189" s="6">
        <f t="shared" si="94"/>
        <v>0.83867056794542405</v>
      </c>
      <c r="G189" s="6">
        <f t="shared" si="94"/>
        <v>0.83867056794542405</v>
      </c>
      <c r="H189" s="6">
        <f t="shared" si="94"/>
        <v>0.83867056794542405</v>
      </c>
      <c r="I189" s="6">
        <f t="shared" si="94"/>
        <v>0.83867056794542405</v>
      </c>
      <c r="J189" s="6">
        <f t="shared" si="94"/>
        <v>0.83867056794542405</v>
      </c>
      <c r="K189" s="6">
        <f t="shared" si="94"/>
        <v>0.83867056794542405</v>
      </c>
      <c r="L189" s="6">
        <f t="shared" si="94"/>
        <v>0.83867056794542405</v>
      </c>
      <c r="M189" s="6">
        <f t="shared" si="94"/>
        <v>0.83867056794542405</v>
      </c>
      <c r="N189" s="180">
        <f t="shared" si="94"/>
        <v>0.83867056794542405</v>
      </c>
    </row>
    <row r="190" spans="2:14">
      <c r="B190" s="169" t="s">
        <v>23</v>
      </c>
      <c r="C190" s="6">
        <f>TAN(C187)</f>
        <v>-0.64940759319751062</v>
      </c>
      <c r="D190" s="6">
        <f t="shared" ref="D190:N190" si="95">TAN(D187)</f>
        <v>-0.64940759319751062</v>
      </c>
      <c r="E190" s="6">
        <f t="shared" si="95"/>
        <v>-0.64940759319751062</v>
      </c>
      <c r="F190" s="6">
        <f t="shared" si="95"/>
        <v>-0.64940759319751062</v>
      </c>
      <c r="G190" s="6">
        <f t="shared" si="95"/>
        <v>-0.64940759319751062</v>
      </c>
      <c r="H190" s="6">
        <f t="shared" si="95"/>
        <v>-0.64940759319751062</v>
      </c>
      <c r="I190" s="6">
        <f t="shared" si="95"/>
        <v>-0.64940759319751062</v>
      </c>
      <c r="J190" s="6">
        <f t="shared" si="95"/>
        <v>-0.64940759319751062</v>
      </c>
      <c r="K190" s="6">
        <f t="shared" si="95"/>
        <v>-0.64940759319751062</v>
      </c>
      <c r="L190" s="6">
        <f t="shared" si="95"/>
        <v>-0.64940759319751062</v>
      </c>
      <c r="M190" s="6">
        <f t="shared" si="95"/>
        <v>-0.64940759319751062</v>
      </c>
      <c r="N190" s="180">
        <f t="shared" si="95"/>
        <v>-0.64940759319751062</v>
      </c>
    </row>
    <row r="191" spans="2:14">
      <c r="B191" s="169" t="s">
        <v>36</v>
      </c>
      <c r="C191" s="6">
        <f>(C186-C182)*C181</f>
        <v>-0.89011791851710809</v>
      </c>
      <c r="D191" s="6">
        <f t="shared" ref="D191:N191" si="96">(D186-D182)*D181</f>
        <v>-0.89011791851710809</v>
      </c>
      <c r="E191" s="6">
        <f t="shared" si="96"/>
        <v>-0.89011791851710809</v>
      </c>
      <c r="F191" s="6">
        <f t="shared" si="96"/>
        <v>-0.89011791851710809</v>
      </c>
      <c r="G191" s="6">
        <f t="shared" si="96"/>
        <v>-0.89011791851710809</v>
      </c>
      <c r="H191" s="6">
        <f t="shared" si="96"/>
        <v>-0.89011791851710809</v>
      </c>
      <c r="I191" s="6">
        <f t="shared" si="96"/>
        <v>-0.89011791851710809</v>
      </c>
      <c r="J191" s="6">
        <f t="shared" si="96"/>
        <v>-0.89011791851710809</v>
      </c>
      <c r="K191" s="6">
        <f t="shared" si="96"/>
        <v>-0.89011791851710809</v>
      </c>
      <c r="L191" s="6">
        <f t="shared" si="96"/>
        <v>-0.89011791851710809</v>
      </c>
      <c r="M191" s="6">
        <f t="shared" si="96"/>
        <v>-0.89011791851710809</v>
      </c>
      <c r="N191" s="180">
        <f t="shared" si="96"/>
        <v>-0.89011791851710809</v>
      </c>
    </row>
    <row r="192" spans="2:14" ht="13">
      <c r="B192" s="25" t="s">
        <v>24</v>
      </c>
      <c r="C192" s="6">
        <f t="shared" ref="C192:N192" si="97">SIN(C191)</f>
        <v>-0.7771459614569709</v>
      </c>
      <c r="D192" s="6">
        <f t="shared" si="97"/>
        <v>-0.7771459614569709</v>
      </c>
      <c r="E192" s="6">
        <f t="shared" si="97"/>
        <v>-0.7771459614569709</v>
      </c>
      <c r="F192" s="6">
        <f t="shared" si="97"/>
        <v>-0.7771459614569709</v>
      </c>
      <c r="G192" s="6">
        <f t="shared" si="97"/>
        <v>-0.7771459614569709</v>
      </c>
      <c r="H192" s="6">
        <f t="shared" si="97"/>
        <v>-0.7771459614569709</v>
      </c>
      <c r="I192" s="6">
        <f t="shared" si="97"/>
        <v>-0.7771459614569709</v>
      </c>
      <c r="J192" s="6">
        <f t="shared" si="97"/>
        <v>-0.7771459614569709</v>
      </c>
      <c r="K192" s="6">
        <f t="shared" si="97"/>
        <v>-0.7771459614569709</v>
      </c>
      <c r="L192" s="6">
        <f t="shared" si="97"/>
        <v>-0.7771459614569709</v>
      </c>
      <c r="M192" s="6">
        <f t="shared" si="97"/>
        <v>-0.7771459614569709</v>
      </c>
      <c r="N192" s="180">
        <f t="shared" si="97"/>
        <v>-0.7771459614569709</v>
      </c>
    </row>
    <row r="193" spans="2:14" ht="13">
      <c r="B193" s="25" t="s">
        <v>25</v>
      </c>
      <c r="C193" s="6">
        <f>COS(C191)</f>
        <v>0.6293203910498375</v>
      </c>
      <c r="D193" s="6">
        <f t="shared" ref="D193:N193" si="98">COS(D191)</f>
        <v>0.6293203910498375</v>
      </c>
      <c r="E193" s="6">
        <f t="shared" si="98"/>
        <v>0.6293203910498375</v>
      </c>
      <c r="F193" s="6">
        <f t="shared" si="98"/>
        <v>0.6293203910498375</v>
      </c>
      <c r="G193" s="6">
        <f t="shared" si="98"/>
        <v>0.6293203910498375</v>
      </c>
      <c r="H193" s="6">
        <f t="shared" si="98"/>
        <v>0.6293203910498375</v>
      </c>
      <c r="I193" s="6">
        <f t="shared" si="98"/>
        <v>0.6293203910498375</v>
      </c>
      <c r="J193" s="6">
        <f t="shared" si="98"/>
        <v>0.6293203910498375</v>
      </c>
      <c r="K193" s="6">
        <f t="shared" si="98"/>
        <v>0.6293203910498375</v>
      </c>
      <c r="L193" s="6">
        <f t="shared" si="98"/>
        <v>0.6293203910498375</v>
      </c>
      <c r="M193" s="6">
        <f t="shared" si="98"/>
        <v>0.6293203910498375</v>
      </c>
      <c r="N193" s="180">
        <f t="shared" si="98"/>
        <v>0.6293203910498375</v>
      </c>
    </row>
    <row r="194" spans="2:14" ht="13">
      <c r="B194" s="25" t="s">
        <v>26</v>
      </c>
      <c r="C194" s="6">
        <f>TAN(C191)</f>
        <v>-1.2348971565350515</v>
      </c>
      <c r="D194" s="6">
        <f t="shared" ref="D194:N194" si="99">TAN(D191)</f>
        <v>-1.2348971565350515</v>
      </c>
      <c r="E194" s="6">
        <f t="shared" si="99"/>
        <v>-1.2348971565350515</v>
      </c>
      <c r="F194" s="6">
        <f t="shared" si="99"/>
        <v>-1.2348971565350515</v>
      </c>
      <c r="G194" s="6">
        <f t="shared" si="99"/>
        <v>-1.2348971565350515</v>
      </c>
      <c r="H194" s="6">
        <f t="shared" si="99"/>
        <v>-1.2348971565350515</v>
      </c>
      <c r="I194" s="6">
        <f t="shared" si="99"/>
        <v>-1.2348971565350515</v>
      </c>
      <c r="J194" s="6">
        <f t="shared" si="99"/>
        <v>-1.2348971565350515</v>
      </c>
      <c r="K194" s="6">
        <f t="shared" si="99"/>
        <v>-1.2348971565350515</v>
      </c>
      <c r="L194" s="6">
        <f t="shared" si="99"/>
        <v>-1.2348971565350515</v>
      </c>
      <c r="M194" s="6">
        <f t="shared" si="99"/>
        <v>-1.2348971565350515</v>
      </c>
      <c r="N194" s="180">
        <f t="shared" si="99"/>
        <v>-1.2348971565350515</v>
      </c>
    </row>
    <row r="195" spans="2:14" ht="13">
      <c r="B195" s="170" t="s">
        <v>37</v>
      </c>
      <c r="C195" s="6">
        <f>COS(37.5*C181)</f>
        <v>0.79335334029123517</v>
      </c>
      <c r="D195" s="6">
        <f t="shared" ref="D195:N195" si="100">COS(37.5*D181)</f>
        <v>0.79335334029123517</v>
      </c>
      <c r="E195" s="6">
        <f t="shared" si="100"/>
        <v>0.79335334029123517</v>
      </c>
      <c r="F195" s="6">
        <f t="shared" si="100"/>
        <v>0.79335334029123517</v>
      </c>
      <c r="G195" s="6">
        <f t="shared" si="100"/>
        <v>0.79335334029123517</v>
      </c>
      <c r="H195" s="6">
        <f t="shared" si="100"/>
        <v>0.79335334029123517</v>
      </c>
      <c r="I195" s="6">
        <f t="shared" si="100"/>
        <v>0.79335334029123517</v>
      </c>
      <c r="J195" s="6">
        <f t="shared" si="100"/>
        <v>0.79335334029123517</v>
      </c>
      <c r="K195" s="6">
        <f t="shared" si="100"/>
        <v>0.79335334029123517</v>
      </c>
      <c r="L195" s="6">
        <f t="shared" si="100"/>
        <v>0.79335334029123517</v>
      </c>
      <c r="M195" s="6">
        <f t="shared" si="100"/>
        <v>0.79335334029123517</v>
      </c>
      <c r="N195" s="180">
        <f t="shared" si="100"/>
        <v>0.79335334029123517</v>
      </c>
    </row>
    <row r="196" spans="2:14" ht="13">
      <c r="B196" s="170" t="s">
        <v>38</v>
      </c>
      <c r="C196" s="6">
        <f>23.45*C181</f>
        <v>0.40927970959267029</v>
      </c>
      <c r="D196" s="6">
        <f t="shared" ref="D196:N196" si="101">23.45*D181</f>
        <v>0.40927970959267029</v>
      </c>
      <c r="E196" s="6">
        <f t="shared" si="101"/>
        <v>0.40927970959267029</v>
      </c>
      <c r="F196" s="6">
        <f t="shared" si="101"/>
        <v>0.40927970959267029</v>
      </c>
      <c r="G196" s="6">
        <f t="shared" si="101"/>
        <v>0.40927970959267029</v>
      </c>
      <c r="H196" s="6">
        <f t="shared" si="101"/>
        <v>0.40927970959267029</v>
      </c>
      <c r="I196" s="6">
        <f t="shared" si="101"/>
        <v>0.40927970959267029</v>
      </c>
      <c r="J196" s="6">
        <f t="shared" si="101"/>
        <v>0.40927970959267029</v>
      </c>
      <c r="K196" s="6">
        <f t="shared" si="101"/>
        <v>0.40927970959267029</v>
      </c>
      <c r="L196" s="6">
        <f t="shared" si="101"/>
        <v>0.40927970959267029</v>
      </c>
      <c r="M196" s="6">
        <f t="shared" si="101"/>
        <v>0.40927970959267029</v>
      </c>
      <c r="N196" s="180">
        <f t="shared" si="101"/>
        <v>0.40927970959267029</v>
      </c>
    </row>
    <row r="197" spans="2:14">
      <c r="B197" s="10" t="s">
        <v>15</v>
      </c>
      <c r="C197" s="1">
        <v>31</v>
      </c>
      <c r="D197" s="1">
        <v>28</v>
      </c>
      <c r="E197" s="1">
        <v>31</v>
      </c>
      <c r="F197" s="1">
        <v>30</v>
      </c>
      <c r="G197" s="1">
        <v>31</v>
      </c>
      <c r="H197" s="1">
        <v>30</v>
      </c>
      <c r="I197" s="1">
        <v>31</v>
      </c>
      <c r="J197" s="1">
        <v>31</v>
      </c>
      <c r="K197" s="1">
        <v>30</v>
      </c>
      <c r="L197" s="1">
        <v>31</v>
      </c>
      <c r="M197" s="1">
        <v>30</v>
      </c>
      <c r="N197" s="2">
        <v>31</v>
      </c>
    </row>
    <row r="198" spans="2:14" ht="13">
      <c r="B198" s="170" t="s">
        <v>27</v>
      </c>
      <c r="C198" s="6">
        <f>1353*3.6</f>
        <v>4870.8</v>
      </c>
      <c r="D198" s="6">
        <f t="shared" ref="D198:N198" si="102">1353*3.6</f>
        <v>4870.8</v>
      </c>
      <c r="E198" s="6">
        <f t="shared" si="102"/>
        <v>4870.8</v>
      </c>
      <c r="F198" s="6">
        <f t="shared" si="102"/>
        <v>4870.8</v>
      </c>
      <c r="G198" s="6">
        <f t="shared" si="102"/>
        <v>4870.8</v>
      </c>
      <c r="H198" s="6">
        <f t="shared" si="102"/>
        <v>4870.8</v>
      </c>
      <c r="I198" s="6">
        <f t="shared" si="102"/>
        <v>4870.8</v>
      </c>
      <c r="J198" s="6">
        <f t="shared" si="102"/>
        <v>4870.8</v>
      </c>
      <c r="K198" s="6">
        <f t="shared" si="102"/>
        <v>4870.8</v>
      </c>
      <c r="L198" s="6">
        <f t="shared" si="102"/>
        <v>4870.8</v>
      </c>
      <c r="M198" s="6">
        <f t="shared" si="102"/>
        <v>4870.8</v>
      </c>
      <c r="N198" s="180">
        <f t="shared" si="102"/>
        <v>4870.8</v>
      </c>
    </row>
    <row r="199" spans="2:14" ht="13.5" thickBot="1">
      <c r="B199" s="25" t="s">
        <v>28</v>
      </c>
      <c r="C199" s="6">
        <f t="shared" ref="C199:N199" si="103">(24*C198)/PI()</f>
        <v>37210.171046976189</v>
      </c>
      <c r="D199" s="6">
        <f t="shared" si="103"/>
        <v>37210.171046976189</v>
      </c>
      <c r="E199" s="6">
        <f t="shared" si="103"/>
        <v>37210.171046976189</v>
      </c>
      <c r="F199" s="6">
        <f t="shared" si="103"/>
        <v>37210.171046976189</v>
      </c>
      <c r="G199" s="6">
        <f t="shared" si="103"/>
        <v>37210.171046976189</v>
      </c>
      <c r="H199" s="6">
        <f t="shared" si="103"/>
        <v>37210.171046976189</v>
      </c>
      <c r="I199" s="6">
        <f t="shared" si="103"/>
        <v>37210.171046976189</v>
      </c>
      <c r="J199" s="6">
        <f t="shared" si="103"/>
        <v>37210.171046976189</v>
      </c>
      <c r="K199" s="6">
        <f t="shared" si="103"/>
        <v>37210.171046976189</v>
      </c>
      <c r="L199" s="6">
        <f t="shared" si="103"/>
        <v>37210.171046976189</v>
      </c>
      <c r="M199" s="6">
        <f t="shared" si="103"/>
        <v>37210.171046976189</v>
      </c>
      <c r="N199" s="181">
        <f t="shared" si="103"/>
        <v>37210.171046976189</v>
      </c>
    </row>
    <row r="200" spans="2:14" ht="13">
      <c r="B200" s="23" t="s">
        <v>15</v>
      </c>
      <c r="C200" s="24">
        <v>15</v>
      </c>
      <c r="D200" s="24">
        <v>46</v>
      </c>
      <c r="E200" s="24">
        <v>74</v>
      </c>
      <c r="F200" s="24">
        <v>105</v>
      </c>
      <c r="G200" s="24">
        <v>135</v>
      </c>
      <c r="H200" s="24">
        <v>166</v>
      </c>
      <c r="I200" s="24">
        <v>196</v>
      </c>
      <c r="J200" s="24">
        <v>227</v>
      </c>
      <c r="K200" s="24">
        <v>258</v>
      </c>
      <c r="L200" s="24">
        <v>270</v>
      </c>
      <c r="M200" s="24">
        <v>319</v>
      </c>
      <c r="N200" s="26">
        <v>349</v>
      </c>
    </row>
    <row r="201" spans="2:14" ht="13">
      <c r="B201" s="170" t="s">
        <v>39</v>
      </c>
      <c r="C201" s="6">
        <f>(360*C181)/365</f>
        <v>1.7214206321039961E-2</v>
      </c>
      <c r="D201" s="6">
        <f t="shared" ref="D201:N201" si="104">(360*D181)/365</f>
        <v>1.7214206321039961E-2</v>
      </c>
      <c r="E201" s="6">
        <f t="shared" si="104"/>
        <v>1.7214206321039961E-2</v>
      </c>
      <c r="F201" s="6">
        <f t="shared" si="104"/>
        <v>1.7214206321039961E-2</v>
      </c>
      <c r="G201" s="6">
        <f t="shared" si="104"/>
        <v>1.7214206321039961E-2</v>
      </c>
      <c r="H201" s="6">
        <f t="shared" si="104"/>
        <v>1.7214206321039961E-2</v>
      </c>
      <c r="I201" s="6">
        <f t="shared" si="104"/>
        <v>1.7214206321039961E-2</v>
      </c>
      <c r="J201" s="6">
        <f t="shared" si="104"/>
        <v>1.7214206321039961E-2</v>
      </c>
      <c r="K201" s="6">
        <f t="shared" si="104"/>
        <v>1.7214206321039961E-2</v>
      </c>
      <c r="L201" s="6">
        <f t="shared" si="104"/>
        <v>1.7214206321039961E-2</v>
      </c>
      <c r="M201" s="6">
        <f t="shared" si="104"/>
        <v>1.7214206321039961E-2</v>
      </c>
      <c r="N201" s="180">
        <f t="shared" si="104"/>
        <v>1.7214206321039961E-2</v>
      </c>
    </row>
    <row r="202" spans="2:14" ht="13">
      <c r="B202" s="170" t="s">
        <v>40</v>
      </c>
      <c r="C202" s="6">
        <f t="shared" ref="C202:N202" si="105">C196*SIN(C201*(284+C200))</f>
        <v>-0.37122234990040354</v>
      </c>
      <c r="D202" s="6">
        <f t="shared" si="105"/>
        <v>-0.23193953024048489</v>
      </c>
      <c r="E202" s="6">
        <f t="shared" si="105"/>
        <v>-4.9198713707110125E-2</v>
      </c>
      <c r="F202" s="6">
        <f t="shared" si="105"/>
        <v>0.16432088762716554</v>
      </c>
      <c r="G202" s="6">
        <f t="shared" si="105"/>
        <v>0.32798083344699769</v>
      </c>
      <c r="H202" s="6">
        <f t="shared" si="105"/>
        <v>0.40691321620538912</v>
      </c>
      <c r="I202" s="6">
        <f t="shared" si="105"/>
        <v>0.37554836000057829</v>
      </c>
      <c r="J202" s="6">
        <f t="shared" si="105"/>
        <v>0.24056857736111795</v>
      </c>
      <c r="K202" s="6">
        <f t="shared" si="105"/>
        <v>3.8691973511018649E-2</v>
      </c>
      <c r="L202" s="6">
        <f t="shared" si="105"/>
        <v>-4.5699766008172903E-2</v>
      </c>
      <c r="M202" s="6">
        <f t="shared" si="105"/>
        <v>-0.33419245656714902</v>
      </c>
      <c r="N202" s="180">
        <f t="shared" si="105"/>
        <v>-0.40727641274141724</v>
      </c>
    </row>
    <row r="203" spans="2:14" ht="13">
      <c r="B203" s="25" t="s">
        <v>42</v>
      </c>
      <c r="C203" s="6">
        <f t="shared" ref="C203:N203" si="106">SIN(C202)</f>
        <v>-0.36275479176733588</v>
      </c>
      <c r="D203" s="6">
        <f t="shared" si="106"/>
        <v>-0.22986554896822295</v>
      </c>
      <c r="E203" s="6">
        <f t="shared" si="106"/>
        <v>-4.9178868417837161E-2</v>
      </c>
      <c r="F203" s="6">
        <f t="shared" si="106"/>
        <v>0.16358240425600395</v>
      </c>
      <c r="G203" s="6">
        <f t="shared" si="106"/>
        <v>0.32213215206816698</v>
      </c>
      <c r="H203" s="6">
        <f t="shared" si="106"/>
        <v>0.39577647976650848</v>
      </c>
      <c r="I203" s="6">
        <f t="shared" si="106"/>
        <v>0.36678272715173194</v>
      </c>
      <c r="J203" s="6">
        <f t="shared" si="106"/>
        <v>0.23825486875759558</v>
      </c>
      <c r="K203" s="6">
        <f t="shared" si="106"/>
        <v>3.868232014248444E-2</v>
      </c>
      <c r="L203" s="6">
        <f t="shared" si="106"/>
        <v>-4.5683860581339865E-2</v>
      </c>
      <c r="M203" s="6">
        <f t="shared" si="106"/>
        <v>-0.32800641041381234</v>
      </c>
      <c r="N203" s="180">
        <f t="shared" si="106"/>
        <v>-0.3961099940583282</v>
      </c>
    </row>
    <row r="204" spans="2:14" ht="13">
      <c r="B204" s="25" t="s">
        <v>43</v>
      </c>
      <c r="C204" s="6">
        <f>COS(C202)</f>
        <v>0.93188462861549382</v>
      </c>
      <c r="D204" s="6">
        <f t="shared" ref="D204:N204" si="107">COS(D202)</f>
        <v>0.97322239462393045</v>
      </c>
      <c r="E204" s="6">
        <f t="shared" si="107"/>
        <v>0.99878998738530667</v>
      </c>
      <c r="F204" s="6">
        <f t="shared" si="107"/>
        <v>0.9865296736631014</v>
      </c>
      <c r="G204" s="6">
        <f t="shared" si="107"/>
        <v>0.94669471140591643</v>
      </c>
      <c r="H204" s="6">
        <f t="shared" si="107"/>
        <v>0.91834687240912982</v>
      </c>
      <c r="I204" s="6">
        <f t="shared" si="107"/>
        <v>0.93030663281691062</v>
      </c>
      <c r="J204" s="6">
        <f t="shared" si="107"/>
        <v>0.97120266552007617</v>
      </c>
      <c r="K204" s="6">
        <f t="shared" si="107"/>
        <v>0.99925155897221118</v>
      </c>
      <c r="L204" s="6">
        <f t="shared" si="107"/>
        <v>0.99895594741829563</v>
      </c>
      <c r="M204" s="6">
        <f t="shared" si="107"/>
        <v>0.94467549705041343</v>
      </c>
      <c r="N204" s="180">
        <f t="shared" si="107"/>
        <v>0.91820306719543865</v>
      </c>
    </row>
    <row r="205" spans="2:14" ht="13">
      <c r="B205" s="170" t="s">
        <v>44</v>
      </c>
      <c r="C205" s="6">
        <f>-C190*TAN(C202)</f>
        <v>-0.25279493727939895</v>
      </c>
      <c r="D205" s="6">
        <f t="shared" ref="D205:N205" si="108">-D190*TAN(D202)</f>
        <v>-0.15338368058429347</v>
      </c>
      <c r="E205" s="6">
        <f t="shared" si="108"/>
        <v>-3.1975821723054777E-2</v>
      </c>
      <c r="F205" s="6">
        <f t="shared" si="108"/>
        <v>0.10768216939983473</v>
      </c>
      <c r="G205" s="6">
        <f t="shared" si="108"/>
        <v>0.22097415676427687</v>
      </c>
      <c r="H205" s="6">
        <f t="shared" si="108"/>
        <v>0.27987273533703205</v>
      </c>
      <c r="I205" s="6">
        <f t="shared" si="108"/>
        <v>0.25603546149595474</v>
      </c>
      <c r="J205" s="6">
        <f t="shared" si="108"/>
        <v>0.15931229019496604</v>
      </c>
      <c r="K205" s="6">
        <f t="shared" si="108"/>
        <v>2.5139407787228688E-2</v>
      </c>
      <c r="L205" s="6">
        <f t="shared" si="108"/>
        <v>-2.9698452694306664E-2</v>
      </c>
      <c r="M205" s="6">
        <f t="shared" si="108"/>
        <v>-0.2254846814649849</v>
      </c>
      <c r="N205" s="180">
        <f t="shared" si="108"/>
        <v>-0.2801524489224414</v>
      </c>
    </row>
    <row r="206" spans="2:14" ht="13">
      <c r="B206" s="170" t="s">
        <v>44</v>
      </c>
      <c r="C206" s="6">
        <f t="shared" ref="C206:N206" si="109">ATAN(SQRT(1-C205^2)/C205)/C181</f>
        <v>-75.357035975139581</v>
      </c>
      <c r="D206" s="6">
        <f t="shared" si="109"/>
        <v>-81.176932953233873</v>
      </c>
      <c r="E206" s="6">
        <f t="shared" si="109"/>
        <v>-88.167608022467178</v>
      </c>
      <c r="F206" s="6">
        <f t="shared" si="109"/>
        <v>83.818280042663901</v>
      </c>
      <c r="G206" s="6">
        <f t="shared" si="109"/>
        <v>77.233743659218291</v>
      </c>
      <c r="H206" s="6">
        <f t="shared" si="109"/>
        <v>73.747390694945281</v>
      </c>
      <c r="I206" s="6">
        <f t="shared" si="109"/>
        <v>75.165050235055276</v>
      </c>
      <c r="J206" s="6">
        <f t="shared" si="109"/>
        <v>80.833018649384044</v>
      </c>
      <c r="K206" s="6">
        <f t="shared" si="109"/>
        <v>88.559466273378604</v>
      </c>
      <c r="L206" s="6">
        <f t="shared" si="109"/>
        <v>-88.298153769146509</v>
      </c>
      <c r="M206" s="6">
        <f t="shared" si="109"/>
        <v>-76.968619195469273</v>
      </c>
      <c r="N206" s="180">
        <f t="shared" si="109"/>
        <v>-73.730696456088936</v>
      </c>
    </row>
    <row r="207" spans="2:14" ht="13">
      <c r="B207" s="170" t="s">
        <v>44</v>
      </c>
      <c r="C207" s="6">
        <f t="shared" ref="C207:N207" si="110">IF(C206&lt;0,C206+180,C206)</f>
        <v>104.64296402486042</v>
      </c>
      <c r="D207" s="6">
        <f t="shared" si="110"/>
        <v>98.823067046766127</v>
      </c>
      <c r="E207" s="6">
        <f t="shared" si="110"/>
        <v>91.832391977532822</v>
      </c>
      <c r="F207" s="6">
        <f t="shared" si="110"/>
        <v>83.818280042663901</v>
      </c>
      <c r="G207" s="6">
        <f t="shared" si="110"/>
        <v>77.233743659218291</v>
      </c>
      <c r="H207" s="6">
        <f t="shared" si="110"/>
        <v>73.747390694945281</v>
      </c>
      <c r="I207" s="6">
        <f t="shared" si="110"/>
        <v>75.165050235055276</v>
      </c>
      <c r="J207" s="6">
        <f t="shared" si="110"/>
        <v>80.833018649384044</v>
      </c>
      <c r="K207" s="6">
        <f t="shared" si="110"/>
        <v>88.559466273378604</v>
      </c>
      <c r="L207" s="6">
        <f t="shared" si="110"/>
        <v>91.701846230853491</v>
      </c>
      <c r="M207" s="6">
        <f t="shared" si="110"/>
        <v>103.03138080453073</v>
      </c>
      <c r="N207" s="180">
        <f t="shared" si="110"/>
        <v>106.26930354391106</v>
      </c>
    </row>
    <row r="208" spans="2:14" ht="13">
      <c r="B208" s="170" t="s">
        <v>52</v>
      </c>
      <c r="C208" s="6">
        <f t="shared" ref="C208:N208" si="111">C207*C181</f>
        <v>1.8263642612797917</v>
      </c>
      <c r="D208" s="6">
        <f t="shared" si="111"/>
        <v>1.724787896885178</v>
      </c>
      <c r="E208" s="6">
        <f t="shared" si="111"/>
        <v>1.6027775999899743</v>
      </c>
      <c r="F208" s="6">
        <f t="shared" si="111"/>
        <v>1.4629049601031383</v>
      </c>
      <c r="G208" s="6">
        <f t="shared" si="111"/>
        <v>1.3479831204946526</v>
      </c>
      <c r="H208" s="6">
        <f t="shared" si="111"/>
        <v>1.2871347823814243</v>
      </c>
      <c r="I208" s="6">
        <f t="shared" si="111"/>
        <v>1.3118776090286524</v>
      </c>
      <c r="J208" s="6">
        <f t="shared" si="111"/>
        <v>1.4108023197577315</v>
      </c>
      <c r="K208" s="6">
        <f t="shared" si="111"/>
        <v>1.5456542702793294</v>
      </c>
      <c r="L208" s="6">
        <f t="shared" si="111"/>
        <v>1.6004991468859455</v>
      </c>
      <c r="M208" s="6">
        <f t="shared" si="111"/>
        <v>1.7982368279151453</v>
      </c>
      <c r="N208" s="180">
        <f t="shared" si="111"/>
        <v>1.8547492406425266</v>
      </c>
    </row>
    <row r="209" spans="2:14" ht="13">
      <c r="B209" s="25" t="s">
        <v>45</v>
      </c>
      <c r="C209" s="6">
        <f>-C194*TAN(C202)</f>
        <v>-0.48070849879613498</v>
      </c>
      <c r="D209" s="6">
        <f t="shared" ref="D209:N209" si="112">-D194*TAN(D202)</f>
        <v>-0.29167055174055623</v>
      </c>
      <c r="E209" s="6">
        <f t="shared" si="112"/>
        <v>-6.0804418884678114E-2</v>
      </c>
      <c r="F209" s="6">
        <f t="shared" si="112"/>
        <v>0.20476570676767286</v>
      </c>
      <c r="G209" s="6">
        <f t="shared" si="112"/>
        <v>0.42019890237554164</v>
      </c>
      <c r="H209" s="6">
        <f t="shared" si="112"/>
        <v>0.53219895898918601</v>
      </c>
      <c r="I209" s="6">
        <f t="shared" si="112"/>
        <v>0.48687059819661221</v>
      </c>
      <c r="J209" s="6">
        <f t="shared" si="112"/>
        <v>0.3029442467621653</v>
      </c>
      <c r="K209" s="6">
        <f t="shared" si="112"/>
        <v>4.7804465975780398E-2</v>
      </c>
      <c r="L209" s="6">
        <f t="shared" si="112"/>
        <v>-5.6473831180683248E-2</v>
      </c>
      <c r="M209" s="6">
        <f t="shared" si="112"/>
        <v>-0.42877600277555405</v>
      </c>
      <c r="N209" s="180">
        <f t="shared" si="112"/>
        <v>-0.53273085531267284</v>
      </c>
    </row>
    <row r="210" spans="2:14" ht="13">
      <c r="B210" s="25" t="s">
        <v>45</v>
      </c>
      <c r="C210" s="6">
        <f t="shared" ref="C210:N210" si="113">ATAN(SQRT(1-C209^2)/C209)/C181</f>
        <v>-61.268314585975212</v>
      </c>
      <c r="D210" s="6">
        <f t="shared" si="113"/>
        <v>-73.042003982991176</v>
      </c>
      <c r="E210" s="6">
        <f t="shared" si="113"/>
        <v>-86.514013115757749</v>
      </c>
      <c r="F210" s="6">
        <f t="shared" si="113"/>
        <v>78.184215906921665</v>
      </c>
      <c r="G210" s="6">
        <f t="shared" si="113"/>
        <v>65.152854337221726</v>
      </c>
      <c r="H210" s="6">
        <f t="shared" si="113"/>
        <v>57.845849624194862</v>
      </c>
      <c r="I210" s="6">
        <f t="shared" si="113"/>
        <v>60.86489823102373</v>
      </c>
      <c r="J210" s="6">
        <f t="shared" si="113"/>
        <v>72.365472466095682</v>
      </c>
      <c r="K210" s="6">
        <f t="shared" si="113"/>
        <v>87.259961561291476</v>
      </c>
      <c r="L210" s="6">
        <f t="shared" si="113"/>
        <v>-86.762565407928022</v>
      </c>
      <c r="M210" s="6">
        <f t="shared" si="113"/>
        <v>-64.610092744277352</v>
      </c>
      <c r="N210" s="180">
        <f t="shared" si="113"/>
        <v>-57.809845913749726</v>
      </c>
    </row>
    <row r="211" spans="2:14" ht="13">
      <c r="B211" s="25" t="s">
        <v>45</v>
      </c>
      <c r="C211" s="6">
        <f t="shared" ref="C211:N211" si="114">IF(C210&lt;0,C210+180,C210)</f>
        <v>118.73168541402478</v>
      </c>
      <c r="D211" s="6">
        <f t="shared" si="114"/>
        <v>106.95799601700882</v>
      </c>
      <c r="E211" s="6">
        <f t="shared" si="114"/>
        <v>93.485986884242251</v>
      </c>
      <c r="F211" s="6">
        <f t="shared" si="114"/>
        <v>78.184215906921665</v>
      </c>
      <c r="G211" s="6">
        <f t="shared" si="114"/>
        <v>65.152854337221726</v>
      </c>
      <c r="H211" s="6">
        <f t="shared" si="114"/>
        <v>57.845849624194862</v>
      </c>
      <c r="I211" s="6">
        <f t="shared" si="114"/>
        <v>60.86489823102373</v>
      </c>
      <c r="J211" s="6">
        <f t="shared" si="114"/>
        <v>72.365472466095682</v>
      </c>
      <c r="K211" s="6">
        <f t="shared" si="114"/>
        <v>87.259961561291476</v>
      </c>
      <c r="L211" s="6">
        <f t="shared" si="114"/>
        <v>93.237434592071978</v>
      </c>
      <c r="M211" s="6">
        <f t="shared" si="114"/>
        <v>115.38990725572265</v>
      </c>
      <c r="N211" s="180">
        <f t="shared" si="114"/>
        <v>122.19015408625027</v>
      </c>
    </row>
    <row r="212" spans="2:14" ht="13">
      <c r="B212" s="25" t="s">
        <v>46</v>
      </c>
      <c r="C212" s="6">
        <f t="shared" ref="C212:N212" si="115">C211*C181</f>
        <v>2.0722588369168591</v>
      </c>
      <c r="D212" s="6">
        <f t="shared" si="115"/>
        <v>1.8667691918317848</v>
      </c>
      <c r="E212" s="6">
        <f t="shared" si="115"/>
        <v>1.6316382756062624</v>
      </c>
      <c r="F212" s="6">
        <f t="shared" si="115"/>
        <v>1.3645719906659075</v>
      </c>
      <c r="G212" s="6">
        <f t="shared" si="115"/>
        <v>1.137131825256787</v>
      </c>
      <c r="H212" s="6">
        <f t="shared" si="115"/>
        <v>1.0096005345557248</v>
      </c>
      <c r="I212" s="6">
        <f t="shared" si="115"/>
        <v>1.0622928730226364</v>
      </c>
      <c r="J212" s="6">
        <f t="shared" si="115"/>
        <v>1.2630157592946702</v>
      </c>
      <c r="K212" s="6">
        <f t="shared" si="115"/>
        <v>1.5229736344082281</v>
      </c>
      <c r="L212" s="6">
        <f t="shared" si="115"/>
        <v>1.6273002197445121</v>
      </c>
      <c r="M212" s="6">
        <f t="shared" si="115"/>
        <v>2.0139338051832545</v>
      </c>
      <c r="N212" s="180">
        <f t="shared" si="115"/>
        <v>2.1326205023242708</v>
      </c>
    </row>
    <row r="213" spans="2:14" ht="13">
      <c r="B213" s="170" t="s">
        <v>47</v>
      </c>
      <c r="C213" s="6">
        <f>C208*C188*C203+C189*C204*SIN(C208)</f>
        <v>1.1169951152829716</v>
      </c>
      <c r="D213" s="6">
        <f t="shared" ref="D213:N213" si="116">D208*D188*D203+D189*D204*SIN(D208)</f>
        <v>1.0224871595686147</v>
      </c>
      <c r="E213" s="6">
        <f t="shared" si="116"/>
        <v>0.88015739213312139</v>
      </c>
      <c r="F213" s="6">
        <f t="shared" si="116"/>
        <v>0.69222740934784766</v>
      </c>
      <c r="G213" s="6">
        <f t="shared" si="116"/>
        <v>0.53784000745338212</v>
      </c>
      <c r="H213" s="6">
        <f t="shared" si="116"/>
        <v>0.4619627049485312</v>
      </c>
      <c r="I213" s="6">
        <f t="shared" si="116"/>
        <v>0.49214782785352545</v>
      </c>
      <c r="J213" s="6">
        <f t="shared" si="116"/>
        <v>0.6210464443360949</v>
      </c>
      <c r="K213" s="6">
        <f t="shared" si="116"/>
        <v>0.8052143214044124</v>
      </c>
      <c r="L213" s="6">
        <f t="shared" si="116"/>
        <v>0.87724776486471778</v>
      </c>
      <c r="M213" s="6">
        <f t="shared" si="116"/>
        <v>1.0931141283331729</v>
      </c>
      <c r="N213" s="180">
        <f t="shared" si="116"/>
        <v>1.1393708135012601</v>
      </c>
    </row>
    <row r="214" spans="2:14" ht="13">
      <c r="B214" s="170" t="s">
        <v>47</v>
      </c>
      <c r="C214" s="6">
        <f t="shared" ref="C214:N214" si="117">C199*(1+0.033*COS(C201*C200))*C213</f>
        <v>42889.705938732419</v>
      </c>
      <c r="D214" s="6">
        <f t="shared" si="117"/>
        <v>38928.979367638691</v>
      </c>
      <c r="E214" s="6">
        <f t="shared" si="117"/>
        <v>33067.042715566859</v>
      </c>
      <c r="F214" s="6">
        <f t="shared" si="117"/>
        <v>25558.580112683896</v>
      </c>
      <c r="G214" s="6">
        <f t="shared" si="117"/>
        <v>19561.435775166199</v>
      </c>
      <c r="H214" s="6">
        <f t="shared" si="117"/>
        <v>16645.179397969245</v>
      </c>
      <c r="I214" s="6">
        <f t="shared" si="117"/>
        <v>17724.824278593533</v>
      </c>
      <c r="J214" s="6">
        <f t="shared" si="117"/>
        <v>22559.660002769513</v>
      </c>
      <c r="K214" s="6">
        <f t="shared" si="117"/>
        <v>29697.36086866746</v>
      </c>
      <c r="L214" s="6">
        <f t="shared" si="117"/>
        <v>32573.050634341915</v>
      </c>
      <c r="M214" s="6">
        <f t="shared" si="117"/>
        <v>41617.947912724703</v>
      </c>
      <c r="N214" s="180">
        <f t="shared" si="117"/>
        <v>43742.524499511528</v>
      </c>
    </row>
    <row r="215" spans="2:14" ht="13">
      <c r="B215" s="170" t="s">
        <v>53</v>
      </c>
      <c r="C215" s="6">
        <f>VLOOKUP('Inclination angle'!$P$12,$A$3:$O$71,3,FALSE)*86.01</f>
        <v>15739.830000000002</v>
      </c>
      <c r="D215" s="6">
        <f>VLOOKUP('Inclination angle'!$P$12,$A$3:$O$71,4,FALSE)*86.01</f>
        <v>13417.560000000001</v>
      </c>
      <c r="E215" s="6">
        <f>VLOOKUP('Inclination angle'!$P$12,$A$3:$O$71,5,FALSE)*86.01</f>
        <v>10837.26</v>
      </c>
      <c r="F215" s="6">
        <f>VLOOKUP('Inclination angle'!$P$12,$A$3:$O$71,6,FALSE)*86.01</f>
        <v>7224.84</v>
      </c>
      <c r="G215" s="6">
        <f>VLOOKUP('Inclination angle'!$P$12,$A$3:$O$71,7,FALSE)*86.01</f>
        <v>4902.5700000000006</v>
      </c>
      <c r="H215" s="6">
        <f>VLOOKUP('Inclination angle'!$P$12,$A$3:$O$71,8,FALSE)*86.01</f>
        <v>3870.4500000000003</v>
      </c>
      <c r="I215" s="6">
        <f>VLOOKUP('Inclination angle'!$P$12,$A$3:$O$71,9,FALSE)*86.01</f>
        <v>4644.54</v>
      </c>
      <c r="J215" s="6">
        <f>VLOOKUP('Inclination angle'!$P$12,$A$3:$O$71,10,FALSE)*86.01</f>
        <v>6708.7800000000007</v>
      </c>
      <c r="K215" s="6">
        <f>VLOOKUP('Inclination angle'!$P$12,$A$3:$O$71,11,FALSE)*86.01</f>
        <v>9289.08</v>
      </c>
      <c r="L215" s="6">
        <f>VLOOKUP('Inclination angle'!$P$12,$A$3:$O$71,12,FALSE)*86.01</f>
        <v>11611.35</v>
      </c>
      <c r="M215" s="6">
        <f>VLOOKUP('Inclination angle'!$P$12,$A$3:$O$71,13,FALSE)*86.01</f>
        <v>14449.68</v>
      </c>
      <c r="N215" s="180">
        <f>VLOOKUP('Inclination angle'!$P$12,$A$3:$O$71,14,FALSE)*86.01</f>
        <v>15739.830000000002</v>
      </c>
    </row>
    <row r="216" spans="2:14" ht="13">
      <c r="B216" s="170" t="s">
        <v>48</v>
      </c>
      <c r="C216" s="6">
        <f t="shared" ref="C216:N216" si="118">C215/C214</f>
        <v>0.36698386373840414</v>
      </c>
      <c r="D216" s="6">
        <f t="shared" si="118"/>
        <v>0.34466765422455176</v>
      </c>
      <c r="E216" s="6">
        <f t="shared" si="118"/>
        <v>0.32773599058189079</v>
      </c>
      <c r="F216" s="6">
        <f t="shared" si="118"/>
        <v>0.28267767490004447</v>
      </c>
      <c r="G216" s="6">
        <f t="shared" si="118"/>
        <v>0.25062424130563837</v>
      </c>
      <c r="H216" s="6">
        <f t="shared" si="118"/>
        <v>0.23252678192655618</v>
      </c>
      <c r="I216" s="6">
        <f t="shared" si="118"/>
        <v>0.26203588407977974</v>
      </c>
      <c r="J216" s="6">
        <f t="shared" si="118"/>
        <v>0.29737948174646267</v>
      </c>
      <c r="K216" s="6">
        <f t="shared" si="118"/>
        <v>0.31279143089783951</v>
      </c>
      <c r="L216" s="6">
        <f t="shared" si="118"/>
        <v>0.35647106346735918</v>
      </c>
      <c r="M216" s="6">
        <f t="shared" si="118"/>
        <v>0.34719828162363586</v>
      </c>
      <c r="N216" s="180">
        <f t="shared" si="118"/>
        <v>0.35982902633284847</v>
      </c>
    </row>
    <row r="217" spans="2:14" ht="13">
      <c r="B217" s="170" t="s">
        <v>49</v>
      </c>
      <c r="C217" s="6">
        <f t="shared" ref="C217:N217" si="119">C216</f>
        <v>0.36698386373840414</v>
      </c>
      <c r="D217" s="6">
        <f t="shared" si="119"/>
        <v>0.34466765422455176</v>
      </c>
      <c r="E217" s="6">
        <f t="shared" si="119"/>
        <v>0.32773599058189079</v>
      </c>
      <c r="F217" s="6">
        <f t="shared" si="119"/>
        <v>0.28267767490004447</v>
      </c>
      <c r="G217" s="6">
        <f t="shared" si="119"/>
        <v>0.25062424130563837</v>
      </c>
      <c r="H217" s="6">
        <f t="shared" si="119"/>
        <v>0.23252678192655618</v>
      </c>
      <c r="I217" s="6">
        <f t="shared" si="119"/>
        <v>0.26203588407977974</v>
      </c>
      <c r="J217" s="6">
        <f t="shared" si="119"/>
        <v>0.29737948174646267</v>
      </c>
      <c r="K217" s="6">
        <f t="shared" si="119"/>
        <v>0.31279143089783951</v>
      </c>
      <c r="L217" s="6">
        <f t="shared" si="119"/>
        <v>0.35647106346735918</v>
      </c>
      <c r="M217" s="6">
        <f t="shared" si="119"/>
        <v>0.34719828162363586</v>
      </c>
      <c r="N217" s="180">
        <f t="shared" si="119"/>
        <v>0.35982902633284847</v>
      </c>
    </row>
    <row r="218" spans="2:14" ht="13">
      <c r="B218" s="170" t="s">
        <v>50</v>
      </c>
      <c r="C218" s="6">
        <f>1.39-4.03*C216+5.53*C216^2-3.11*C216^3</f>
        <v>0.50210999595086325</v>
      </c>
      <c r="D218" s="6">
        <f t="shared" ref="D218:N218" si="120">1.39-4.03*D216+5.53*D216^2-3.11*D216^3</f>
        <v>0.53059092440270417</v>
      </c>
      <c r="E218" s="6">
        <f t="shared" si="120"/>
        <v>0.55372662350658697</v>
      </c>
      <c r="F218" s="6">
        <f t="shared" si="120"/>
        <v>0.62244468888591808</v>
      </c>
      <c r="G218" s="6">
        <f t="shared" si="120"/>
        <v>0.67837881927337285</v>
      </c>
      <c r="H218" s="6">
        <f t="shared" si="120"/>
        <v>0.71281677183707282</v>
      </c>
      <c r="I218" s="6">
        <f t="shared" si="120"/>
        <v>0.6577452071613652</v>
      </c>
      <c r="J218" s="6">
        <f t="shared" si="120"/>
        <v>0.59881506823328556</v>
      </c>
      <c r="K218" s="6">
        <f t="shared" si="120"/>
        <v>0.57532187576705285</v>
      </c>
      <c r="L218" s="6">
        <f t="shared" si="120"/>
        <v>0.51525289314036993</v>
      </c>
      <c r="M218" s="6">
        <f t="shared" si="120"/>
        <v>0.52724922107140038</v>
      </c>
      <c r="N218" s="180">
        <f t="shared" si="120"/>
        <v>0.51100291449670276</v>
      </c>
    </row>
    <row r="219" spans="2:14" ht="13">
      <c r="B219" s="170" t="s">
        <v>41</v>
      </c>
      <c r="C219" s="6">
        <f>C189*C204*SIN(C208)+C208*C188*C203</f>
        <v>1.1169951152829716</v>
      </c>
      <c r="D219" s="6">
        <f t="shared" ref="D219:N219" si="121">D189*D204*SIN(D208)+D208*D188*D203</f>
        <v>1.0224871595686147</v>
      </c>
      <c r="E219" s="6">
        <f t="shared" si="121"/>
        <v>0.88015739213312139</v>
      </c>
      <c r="F219" s="6">
        <f t="shared" si="121"/>
        <v>0.69222740934784766</v>
      </c>
      <c r="G219" s="6">
        <f t="shared" si="121"/>
        <v>0.53784000745338212</v>
      </c>
      <c r="H219" s="6">
        <f t="shared" si="121"/>
        <v>0.4619627049485312</v>
      </c>
      <c r="I219" s="6">
        <f t="shared" si="121"/>
        <v>0.49214782785352545</v>
      </c>
      <c r="J219" s="6">
        <f t="shared" si="121"/>
        <v>0.6210464443360949</v>
      </c>
      <c r="K219" s="6">
        <f t="shared" si="121"/>
        <v>0.8052143214044124</v>
      </c>
      <c r="L219" s="6">
        <f t="shared" si="121"/>
        <v>0.87724776486471778</v>
      </c>
      <c r="M219" s="6">
        <f t="shared" si="121"/>
        <v>1.0931141283331729</v>
      </c>
      <c r="N219" s="180">
        <f t="shared" si="121"/>
        <v>1.1393708135012601</v>
      </c>
    </row>
    <row r="220" spans="2:14" ht="13">
      <c r="B220" s="170" t="s">
        <v>41</v>
      </c>
      <c r="C220" s="6">
        <f t="shared" ref="C220:N220" si="122">(C193*C204*SIN(IF(C211&gt;C207,C208,C212))+IF(C211&gt;C207,C208,C212)*C192*C203)/C219</f>
        <v>0.96892321724378649</v>
      </c>
      <c r="D220" s="6">
        <f t="shared" si="122"/>
        <v>0.89324907212649385</v>
      </c>
      <c r="E220" s="6">
        <f t="shared" si="122"/>
        <v>0.78337613851819765</v>
      </c>
      <c r="F220" s="6">
        <f t="shared" si="122"/>
        <v>0.62727031735482908</v>
      </c>
      <c r="G220" s="6">
        <f t="shared" si="122"/>
        <v>0.47588664720447277</v>
      </c>
      <c r="H220" s="6">
        <f t="shared" si="122"/>
        <v>0.38696078324448324</v>
      </c>
      <c r="I220" s="6">
        <f t="shared" si="122"/>
        <v>0.42382603205417069</v>
      </c>
      <c r="J220" s="6">
        <f t="shared" si="122"/>
        <v>0.56133953059377106</v>
      </c>
      <c r="K220" s="6">
        <f t="shared" si="122"/>
        <v>0.72321997845646402</v>
      </c>
      <c r="L220" s="6">
        <f t="shared" si="122"/>
        <v>0.78108903716005906</v>
      </c>
      <c r="M220" s="6">
        <f t="shared" si="122"/>
        <v>0.94919606346848084</v>
      </c>
      <c r="N220" s="180">
        <f t="shared" si="122"/>
        <v>0.98796783127987886</v>
      </c>
    </row>
    <row r="221" spans="2:14" ht="13">
      <c r="B221" s="170" t="s">
        <v>51</v>
      </c>
      <c r="C221" s="6">
        <f t="shared" ref="C221:N221" si="123">((1-C218)*C220+C218*(1+C185)/2+0.2*(1-C185)/2)</f>
        <v>0.97713402267572858</v>
      </c>
      <c r="D221" s="6">
        <f t="shared" si="123"/>
        <v>0.94180000986700696</v>
      </c>
      <c r="E221" s="6">
        <f t="shared" si="123"/>
        <v>0.89467023129069223</v>
      </c>
      <c r="F221" s="6">
        <f t="shared" si="123"/>
        <v>0.84893597133410603</v>
      </c>
      <c r="G221" s="6">
        <f t="shared" si="123"/>
        <v>0.81972728166638631</v>
      </c>
      <c r="H221" s="6">
        <f t="shared" si="123"/>
        <v>0.81139589908368837</v>
      </c>
      <c r="I221" s="6">
        <f t="shared" si="123"/>
        <v>0.79159987541784904</v>
      </c>
      <c r="J221" s="6">
        <f t="shared" si="123"/>
        <v>0.81425633011584564</v>
      </c>
      <c r="K221" s="6">
        <f t="shared" si="123"/>
        <v>0.87327279957039794</v>
      </c>
      <c r="L221" s="6">
        <f t="shared" si="123"/>
        <v>0.88616875668432193</v>
      </c>
      <c r="M221" s="6">
        <f t="shared" si="123"/>
        <v>0.9679740409726193</v>
      </c>
      <c r="N221" s="180">
        <f t="shared" si="123"/>
        <v>0.98650552152466231</v>
      </c>
    </row>
    <row r="222" spans="2:14">
      <c r="B222" s="169"/>
      <c r="N222" s="180"/>
    </row>
    <row r="223" spans="2:14" ht="13">
      <c r="B223" s="27" t="s">
        <v>54</v>
      </c>
      <c r="C223" s="6">
        <f>C203*C188*C185</f>
        <v>0.18790063511636756</v>
      </c>
      <c r="D223" s="6">
        <f t="shared" ref="D223:N223" si="124">D203*D188*D185</f>
        <v>0.11906633247233311</v>
      </c>
      <c r="E223" s="6">
        <f t="shared" si="124"/>
        <v>2.5473793371536525E-2</v>
      </c>
      <c r="F223" s="6">
        <f t="shared" si="124"/>
        <v>-8.473282324904427E-2</v>
      </c>
      <c r="G223" s="6">
        <f t="shared" si="124"/>
        <v>-0.16685881851516088</v>
      </c>
      <c r="H223" s="6">
        <f t="shared" si="124"/>
        <v>-0.20500529172870172</v>
      </c>
      <c r="I223" s="6">
        <f t="shared" si="124"/>
        <v>-0.1899870351698261</v>
      </c>
      <c r="J223" s="6">
        <f t="shared" si="124"/>
        <v>-0.12341185333764666</v>
      </c>
      <c r="K223" s="6">
        <f t="shared" si="124"/>
        <v>-2.0036765020072622E-2</v>
      </c>
      <c r="L223" s="6">
        <f t="shared" si="124"/>
        <v>2.3663440463405325E-2</v>
      </c>
      <c r="M223" s="6">
        <f t="shared" si="124"/>
        <v>0.16990158155795021</v>
      </c>
      <c r="N223" s="180">
        <f t="shared" si="124"/>
        <v>0.20517804629645808</v>
      </c>
    </row>
    <row r="224" spans="2:14" ht="13">
      <c r="B224" s="27" t="s">
        <v>54</v>
      </c>
      <c r="C224" s="6">
        <f t="shared" ref="C224:N224" si="125">C223-C203*C189*C184</f>
        <v>0.2819134214211495</v>
      </c>
      <c r="D224" s="6">
        <f t="shared" si="125"/>
        <v>0.17863908305874404</v>
      </c>
      <c r="E224" s="6">
        <f t="shared" si="125"/>
        <v>3.8219158979945919E-2</v>
      </c>
      <c r="F224" s="6">
        <f t="shared" si="125"/>
        <v>-0.12712740483297508</v>
      </c>
      <c r="G224" s="6">
        <f t="shared" si="125"/>
        <v>-0.25034370103521875</v>
      </c>
      <c r="H224" s="6">
        <f t="shared" si="125"/>
        <v>-0.3075760928901986</v>
      </c>
      <c r="I224" s="6">
        <f t="shared" si="125"/>
        <v>-0.28504371513814253</v>
      </c>
      <c r="J224" s="6">
        <f t="shared" si="125"/>
        <v>-0.18515880905242604</v>
      </c>
      <c r="K224" s="6">
        <f t="shared" si="125"/>
        <v>-3.0061808878517417E-2</v>
      </c>
      <c r="L224" s="6">
        <f t="shared" si="125"/>
        <v>3.550302775455158E-2</v>
      </c>
      <c r="M224" s="6">
        <f t="shared" si="125"/>
        <v>0.25490885718509199</v>
      </c>
      <c r="N224" s="180">
        <f t="shared" si="125"/>
        <v>0.30783528217517447</v>
      </c>
    </row>
    <row r="225" spans="2:15" ht="13">
      <c r="B225" s="27" t="s">
        <v>54</v>
      </c>
      <c r="C225" s="6">
        <f t="shared" ref="C225:N225" si="126">C224+C204*C189*C185*C195</f>
        <v>0.87160717920259967</v>
      </c>
      <c r="D225" s="6">
        <f t="shared" si="126"/>
        <v>0.79449125340251081</v>
      </c>
      <c r="E225" s="6">
        <f t="shared" si="126"/>
        <v>0.67025042423515235</v>
      </c>
      <c r="F225" s="6">
        <f t="shared" si="126"/>
        <v>0.49714557120013309</v>
      </c>
      <c r="G225" s="6">
        <f t="shared" si="126"/>
        <v>0.34872183207716911</v>
      </c>
      <c r="H225" s="6">
        <f t="shared" si="126"/>
        <v>0.27355101395172432</v>
      </c>
      <c r="I225" s="6">
        <f t="shared" si="126"/>
        <v>0.30365149170292749</v>
      </c>
      <c r="J225" s="6">
        <f t="shared" si="126"/>
        <v>0.42941528285933367</v>
      </c>
      <c r="K225" s="6">
        <f t="shared" si="126"/>
        <v>0.60226153747257682</v>
      </c>
      <c r="L225" s="6">
        <f t="shared" si="126"/>
        <v>0.66763931201370952</v>
      </c>
      <c r="M225" s="6">
        <f t="shared" si="126"/>
        <v>0.85269663759666336</v>
      </c>
      <c r="N225" s="180">
        <f t="shared" si="126"/>
        <v>0.8888713895153928</v>
      </c>
    </row>
    <row r="226" spans="2:15" ht="13">
      <c r="B226" s="27" t="s">
        <v>54</v>
      </c>
      <c r="C226" s="6">
        <f t="shared" ref="C226:N226" si="127">C225+C204*C188*C184*C195</f>
        <v>0.74717866037056724</v>
      </c>
      <c r="D226" s="6">
        <f t="shared" si="127"/>
        <v>0.66454317041166533</v>
      </c>
      <c r="E226" s="6">
        <f t="shared" si="127"/>
        <v>0.53688846617897257</v>
      </c>
      <c r="F226" s="6">
        <f t="shared" si="127"/>
        <v>0.36542065342772379</v>
      </c>
      <c r="G226" s="6">
        <f t="shared" si="127"/>
        <v>0.2223158188120222</v>
      </c>
      <c r="H226" s="6">
        <f t="shared" si="127"/>
        <v>0.15093010402463716</v>
      </c>
      <c r="I226" s="6">
        <f t="shared" si="127"/>
        <v>0.17943367242952235</v>
      </c>
      <c r="J226" s="6">
        <f t="shared" si="127"/>
        <v>0.2997368812143516</v>
      </c>
      <c r="K226" s="6">
        <f t="shared" si="127"/>
        <v>0.46883794875190293</v>
      </c>
      <c r="L226" s="6">
        <f t="shared" si="127"/>
        <v>0.53425519438921409</v>
      </c>
      <c r="M226" s="6">
        <f t="shared" si="127"/>
        <v>0.72656023694636651</v>
      </c>
      <c r="N226" s="180">
        <f t="shared" si="127"/>
        <v>0.76626968096709269</v>
      </c>
    </row>
    <row r="227" spans="2:15" ht="13">
      <c r="B227" s="27" t="s">
        <v>54</v>
      </c>
      <c r="C227" s="6">
        <f t="shared" ref="C227:N227" si="128">ATAN(SQRT(1-C226^2)/C226)/C181</f>
        <v>41.653427788369399</v>
      </c>
      <c r="D227" s="6">
        <f t="shared" si="128"/>
        <v>48.352711786406495</v>
      </c>
      <c r="E227" s="6">
        <f t="shared" si="128"/>
        <v>57.527926599513684</v>
      </c>
      <c r="F227" s="6">
        <f t="shared" si="128"/>
        <v>68.566527277625738</v>
      </c>
      <c r="G227" s="6">
        <f t="shared" si="128"/>
        <v>77.154911316159115</v>
      </c>
      <c r="H227" s="6">
        <f t="shared" si="128"/>
        <v>81.319168716525752</v>
      </c>
      <c r="I227" s="6">
        <f t="shared" si="128"/>
        <v>79.663225427527266</v>
      </c>
      <c r="J227" s="6">
        <f t="shared" si="128"/>
        <v>72.558199709735831</v>
      </c>
      <c r="K227" s="6">
        <f t="shared" si="128"/>
        <v>62.041108317242468</v>
      </c>
      <c r="L227" s="6">
        <f t="shared" si="128"/>
        <v>57.706585378709093</v>
      </c>
      <c r="M227" s="6">
        <f t="shared" si="128"/>
        <v>43.401203630531519</v>
      </c>
      <c r="N227" s="180">
        <f t="shared" si="128"/>
        <v>39.9799189127489</v>
      </c>
    </row>
    <row r="229" spans="2:15">
      <c r="C229" s="14">
        <f>C215*C221*1.05</f>
        <v>16148.919574338721</v>
      </c>
      <c r="D229" s="14">
        <f t="shared" ref="D229:N229" si="129">D215*D221*1.05</f>
        <v>13268.491047410716</v>
      </c>
      <c r="E229" s="14">
        <f t="shared" si="129"/>
        <v>10180.562606295236</v>
      </c>
      <c r="F229" s="14">
        <f t="shared" si="129"/>
        <v>6440.0978912901783</v>
      </c>
      <c r="G229" s="14">
        <f t="shared" si="129"/>
        <v>4219.7088982431351</v>
      </c>
      <c r="H229" s="14">
        <f t="shared" si="129"/>
        <v>3297.4906204888848</v>
      </c>
      <c r="I229" s="14">
        <f t="shared" si="129"/>
        <v>3860.4481496418775</v>
      </c>
      <c r="J229" s="14">
        <f t="shared" si="129"/>
        <v>5735.7999114723134</v>
      </c>
      <c r="K229" s="14">
        <f t="shared" si="129"/>
        <v>8517.4959418850613</v>
      </c>
      <c r="L229" s="14">
        <f t="shared" si="129"/>
        <v>10804.096372572829</v>
      </c>
      <c r="M229" s="14">
        <f t="shared" si="129"/>
        <v>14686.260897379299</v>
      </c>
      <c r="N229" s="14">
        <f t="shared" si="129"/>
        <v>16303.800663002503</v>
      </c>
      <c r="O229" s="14">
        <f>SUM(C229:N229)/86.01</f>
        <v>1319.1858222767207</v>
      </c>
    </row>
    <row r="230" spans="2:15" ht="13" thickBot="1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">
      <c r="B231" s="23" t="s">
        <v>20</v>
      </c>
      <c r="C231" s="24">
        <f>PI()/180</f>
        <v>1.7453292519943295E-2</v>
      </c>
      <c r="D231" s="24">
        <f t="shared" ref="D231:N231" si="130">PI()/180</f>
        <v>1.7453292519943295E-2</v>
      </c>
      <c r="E231" s="24">
        <f t="shared" si="130"/>
        <v>1.7453292519943295E-2</v>
      </c>
      <c r="F231" s="24">
        <f t="shared" si="130"/>
        <v>1.7453292519943295E-2</v>
      </c>
      <c r="G231" s="24">
        <f t="shared" si="130"/>
        <v>1.7453292519943295E-2</v>
      </c>
      <c r="H231" s="24">
        <f t="shared" si="130"/>
        <v>1.7453292519943295E-2</v>
      </c>
      <c r="I231" s="24">
        <f t="shared" si="130"/>
        <v>1.7453292519943295E-2</v>
      </c>
      <c r="J231" s="24">
        <f t="shared" si="130"/>
        <v>1.7453292519943295E-2</v>
      </c>
      <c r="K231" s="24">
        <f t="shared" si="130"/>
        <v>1.7453292519943295E-2</v>
      </c>
      <c r="L231" s="24">
        <f t="shared" si="130"/>
        <v>1.7453292519943295E-2</v>
      </c>
      <c r="M231" s="24">
        <f t="shared" si="130"/>
        <v>1.7453292519943295E-2</v>
      </c>
      <c r="N231" s="26">
        <f t="shared" si="130"/>
        <v>1.7453292519943295E-2</v>
      </c>
    </row>
    <row r="232" spans="2:15">
      <c r="B232" s="169" t="s">
        <v>30</v>
      </c>
      <c r="C232" s="6">
        <f>'Inclination angle'!$AN$25</f>
        <v>13</v>
      </c>
      <c r="D232" s="6">
        <f>'Inclination angle'!$AN$25</f>
        <v>13</v>
      </c>
      <c r="E232" s="6">
        <f>'Inclination angle'!$AN$25</f>
        <v>13</v>
      </c>
      <c r="F232" s="6">
        <f>'Inclination angle'!$AN$25</f>
        <v>13</v>
      </c>
      <c r="G232" s="6">
        <f>'Inclination angle'!$AN$25</f>
        <v>13</v>
      </c>
      <c r="H232" s="6">
        <f>'Inclination angle'!$AN$25</f>
        <v>13</v>
      </c>
      <c r="I232" s="6">
        <f>'Inclination angle'!$AN$25</f>
        <v>13</v>
      </c>
      <c r="J232" s="6">
        <f>'Inclination angle'!$AN$25</f>
        <v>13</v>
      </c>
      <c r="K232" s="6">
        <f>'Inclination angle'!$AN$25</f>
        <v>13</v>
      </c>
      <c r="L232" s="6">
        <f>'Inclination angle'!$AN$25</f>
        <v>13</v>
      </c>
      <c r="M232" s="6">
        <f>'Inclination angle'!$AN$25</f>
        <v>13</v>
      </c>
      <c r="N232" s="180">
        <f>'Inclination angle'!$AN$25</f>
        <v>13</v>
      </c>
    </row>
    <row r="233" spans="2:15">
      <c r="B233" s="169" t="s">
        <v>31</v>
      </c>
      <c r="C233" s="6">
        <f t="shared" ref="C233:N233" si="131">C232*C231</f>
        <v>0.22689280275926285</v>
      </c>
      <c r="D233" s="6">
        <f t="shared" si="131"/>
        <v>0.22689280275926285</v>
      </c>
      <c r="E233" s="6">
        <f t="shared" si="131"/>
        <v>0.22689280275926285</v>
      </c>
      <c r="F233" s="6">
        <f t="shared" si="131"/>
        <v>0.22689280275926285</v>
      </c>
      <c r="G233" s="6">
        <f t="shared" si="131"/>
        <v>0.22689280275926285</v>
      </c>
      <c r="H233" s="6">
        <f t="shared" si="131"/>
        <v>0.22689280275926285</v>
      </c>
      <c r="I233" s="6">
        <f t="shared" si="131"/>
        <v>0.22689280275926285</v>
      </c>
      <c r="J233" s="6">
        <f t="shared" si="131"/>
        <v>0.22689280275926285</v>
      </c>
      <c r="K233" s="6">
        <f t="shared" si="131"/>
        <v>0.22689280275926285</v>
      </c>
      <c r="L233" s="6">
        <f t="shared" si="131"/>
        <v>0.22689280275926285</v>
      </c>
      <c r="M233" s="6">
        <f t="shared" si="131"/>
        <v>0.22689280275926285</v>
      </c>
      <c r="N233" s="180">
        <f t="shared" si="131"/>
        <v>0.22689280275926285</v>
      </c>
    </row>
    <row r="234" spans="2:15">
      <c r="B234" s="169" t="s">
        <v>32</v>
      </c>
      <c r="C234" s="6">
        <f t="shared" ref="C234:N234" si="132">SIN(C233)</f>
        <v>0.224951054343865</v>
      </c>
      <c r="D234" s="6">
        <f t="shared" si="132"/>
        <v>0.224951054343865</v>
      </c>
      <c r="E234" s="6">
        <f t="shared" si="132"/>
        <v>0.224951054343865</v>
      </c>
      <c r="F234" s="6">
        <f t="shared" si="132"/>
        <v>0.224951054343865</v>
      </c>
      <c r="G234" s="6">
        <f t="shared" si="132"/>
        <v>0.224951054343865</v>
      </c>
      <c r="H234" s="6">
        <f t="shared" si="132"/>
        <v>0.224951054343865</v>
      </c>
      <c r="I234" s="6">
        <f t="shared" si="132"/>
        <v>0.224951054343865</v>
      </c>
      <c r="J234" s="6">
        <f t="shared" si="132"/>
        <v>0.224951054343865</v>
      </c>
      <c r="K234" s="6">
        <f t="shared" si="132"/>
        <v>0.224951054343865</v>
      </c>
      <c r="L234" s="6">
        <f t="shared" si="132"/>
        <v>0.224951054343865</v>
      </c>
      <c r="M234" s="6">
        <f t="shared" si="132"/>
        <v>0.224951054343865</v>
      </c>
      <c r="N234" s="180">
        <f t="shared" si="132"/>
        <v>0.224951054343865</v>
      </c>
    </row>
    <row r="235" spans="2:15">
      <c r="B235" s="169" t="s">
        <v>33</v>
      </c>
      <c r="C235" s="6">
        <f>COS(C233)</f>
        <v>0.97437006478523525</v>
      </c>
      <c r="D235" s="6">
        <f t="shared" ref="D235:N235" si="133">COS(D233)</f>
        <v>0.97437006478523525</v>
      </c>
      <c r="E235" s="6">
        <f t="shared" si="133"/>
        <v>0.97437006478523525</v>
      </c>
      <c r="F235" s="6">
        <f t="shared" si="133"/>
        <v>0.97437006478523525</v>
      </c>
      <c r="G235" s="6">
        <f t="shared" si="133"/>
        <v>0.97437006478523525</v>
      </c>
      <c r="H235" s="6">
        <f t="shared" si="133"/>
        <v>0.97437006478523525</v>
      </c>
      <c r="I235" s="6">
        <f t="shared" si="133"/>
        <v>0.97437006478523525</v>
      </c>
      <c r="J235" s="6">
        <f t="shared" si="133"/>
        <v>0.97437006478523525</v>
      </c>
      <c r="K235" s="6">
        <f t="shared" si="133"/>
        <v>0.97437006478523525</v>
      </c>
      <c r="L235" s="6">
        <f t="shared" si="133"/>
        <v>0.97437006478523525</v>
      </c>
      <c r="M235" s="6">
        <f t="shared" si="133"/>
        <v>0.97437006478523525</v>
      </c>
      <c r="N235" s="180">
        <f t="shared" si="133"/>
        <v>0.97437006478523525</v>
      </c>
    </row>
    <row r="236" spans="2:15">
      <c r="B236" s="169" t="s">
        <v>34</v>
      </c>
      <c r="C236" s="6">
        <f>'Inclination angle'!$S$9</f>
        <v>-33</v>
      </c>
      <c r="D236" s="6">
        <f t="shared" ref="D236:N236" si="134">C236</f>
        <v>-33</v>
      </c>
      <c r="E236" s="6">
        <f t="shared" si="134"/>
        <v>-33</v>
      </c>
      <c r="F236" s="6">
        <f t="shared" si="134"/>
        <v>-33</v>
      </c>
      <c r="G236" s="6">
        <f t="shared" si="134"/>
        <v>-33</v>
      </c>
      <c r="H236" s="6">
        <f t="shared" si="134"/>
        <v>-33</v>
      </c>
      <c r="I236" s="6">
        <f t="shared" si="134"/>
        <v>-33</v>
      </c>
      <c r="J236" s="6">
        <f t="shared" si="134"/>
        <v>-33</v>
      </c>
      <c r="K236" s="6">
        <f t="shared" si="134"/>
        <v>-33</v>
      </c>
      <c r="L236" s="6">
        <f t="shared" si="134"/>
        <v>-33</v>
      </c>
      <c r="M236" s="6">
        <f t="shared" si="134"/>
        <v>-33</v>
      </c>
      <c r="N236" s="180">
        <f t="shared" si="134"/>
        <v>-33</v>
      </c>
    </row>
    <row r="237" spans="2:15">
      <c r="B237" s="169" t="s">
        <v>35</v>
      </c>
      <c r="C237" s="6">
        <f t="shared" ref="C237:N237" si="135">C236*C231</f>
        <v>-0.57595865315812877</v>
      </c>
      <c r="D237" s="6">
        <f t="shared" si="135"/>
        <v>-0.57595865315812877</v>
      </c>
      <c r="E237" s="6">
        <f t="shared" si="135"/>
        <v>-0.57595865315812877</v>
      </c>
      <c r="F237" s="6">
        <f t="shared" si="135"/>
        <v>-0.57595865315812877</v>
      </c>
      <c r="G237" s="6">
        <f t="shared" si="135"/>
        <v>-0.57595865315812877</v>
      </c>
      <c r="H237" s="6">
        <f t="shared" si="135"/>
        <v>-0.57595865315812877</v>
      </c>
      <c r="I237" s="6">
        <f t="shared" si="135"/>
        <v>-0.57595865315812877</v>
      </c>
      <c r="J237" s="6">
        <f t="shared" si="135"/>
        <v>-0.57595865315812877</v>
      </c>
      <c r="K237" s="6">
        <f t="shared" si="135"/>
        <v>-0.57595865315812877</v>
      </c>
      <c r="L237" s="6">
        <f t="shared" si="135"/>
        <v>-0.57595865315812877</v>
      </c>
      <c r="M237" s="6">
        <f t="shared" si="135"/>
        <v>-0.57595865315812877</v>
      </c>
      <c r="N237" s="180">
        <f t="shared" si="135"/>
        <v>-0.57595865315812877</v>
      </c>
    </row>
    <row r="238" spans="2:15">
      <c r="B238" s="169" t="s">
        <v>21</v>
      </c>
      <c r="C238" s="6">
        <f t="shared" ref="C238:N238" si="136">SIN(C237)</f>
        <v>-0.54463903501502708</v>
      </c>
      <c r="D238" s="6">
        <f t="shared" si="136"/>
        <v>-0.54463903501502708</v>
      </c>
      <c r="E238" s="6">
        <f t="shared" si="136"/>
        <v>-0.54463903501502708</v>
      </c>
      <c r="F238" s="6">
        <f t="shared" si="136"/>
        <v>-0.54463903501502708</v>
      </c>
      <c r="G238" s="6">
        <f t="shared" si="136"/>
        <v>-0.54463903501502708</v>
      </c>
      <c r="H238" s="6">
        <f t="shared" si="136"/>
        <v>-0.54463903501502708</v>
      </c>
      <c r="I238" s="6">
        <f t="shared" si="136"/>
        <v>-0.54463903501502708</v>
      </c>
      <c r="J238" s="6">
        <f t="shared" si="136"/>
        <v>-0.54463903501502708</v>
      </c>
      <c r="K238" s="6">
        <f t="shared" si="136"/>
        <v>-0.54463903501502708</v>
      </c>
      <c r="L238" s="6">
        <f t="shared" si="136"/>
        <v>-0.54463903501502708</v>
      </c>
      <c r="M238" s="6">
        <f t="shared" si="136"/>
        <v>-0.54463903501502708</v>
      </c>
      <c r="N238" s="180">
        <f t="shared" si="136"/>
        <v>-0.54463903501502708</v>
      </c>
    </row>
    <row r="239" spans="2:15">
      <c r="B239" s="169" t="s">
        <v>22</v>
      </c>
      <c r="C239" s="6">
        <f>COS(C237)</f>
        <v>0.83867056794542405</v>
      </c>
      <c r="D239" s="6">
        <f t="shared" ref="D239:N239" si="137">COS(D237)</f>
        <v>0.83867056794542405</v>
      </c>
      <c r="E239" s="6">
        <f t="shared" si="137"/>
        <v>0.83867056794542405</v>
      </c>
      <c r="F239" s="6">
        <f t="shared" si="137"/>
        <v>0.83867056794542405</v>
      </c>
      <c r="G239" s="6">
        <f t="shared" si="137"/>
        <v>0.83867056794542405</v>
      </c>
      <c r="H239" s="6">
        <f t="shared" si="137"/>
        <v>0.83867056794542405</v>
      </c>
      <c r="I239" s="6">
        <f t="shared" si="137"/>
        <v>0.83867056794542405</v>
      </c>
      <c r="J239" s="6">
        <f t="shared" si="137"/>
        <v>0.83867056794542405</v>
      </c>
      <c r="K239" s="6">
        <f t="shared" si="137"/>
        <v>0.83867056794542405</v>
      </c>
      <c r="L239" s="6">
        <f t="shared" si="137"/>
        <v>0.83867056794542405</v>
      </c>
      <c r="M239" s="6">
        <f t="shared" si="137"/>
        <v>0.83867056794542405</v>
      </c>
      <c r="N239" s="180">
        <f t="shared" si="137"/>
        <v>0.83867056794542405</v>
      </c>
    </row>
    <row r="240" spans="2:15">
      <c r="B240" s="169" t="s">
        <v>23</v>
      </c>
      <c r="C240" s="6">
        <f>TAN(C237)</f>
        <v>-0.64940759319751062</v>
      </c>
      <c r="D240" s="6">
        <f t="shared" ref="D240:N240" si="138">TAN(D237)</f>
        <v>-0.64940759319751062</v>
      </c>
      <c r="E240" s="6">
        <f t="shared" si="138"/>
        <v>-0.64940759319751062</v>
      </c>
      <c r="F240" s="6">
        <f t="shared" si="138"/>
        <v>-0.64940759319751062</v>
      </c>
      <c r="G240" s="6">
        <f t="shared" si="138"/>
        <v>-0.64940759319751062</v>
      </c>
      <c r="H240" s="6">
        <f t="shared" si="138"/>
        <v>-0.64940759319751062</v>
      </c>
      <c r="I240" s="6">
        <f t="shared" si="138"/>
        <v>-0.64940759319751062</v>
      </c>
      <c r="J240" s="6">
        <f t="shared" si="138"/>
        <v>-0.64940759319751062</v>
      </c>
      <c r="K240" s="6">
        <f t="shared" si="138"/>
        <v>-0.64940759319751062</v>
      </c>
      <c r="L240" s="6">
        <f t="shared" si="138"/>
        <v>-0.64940759319751062</v>
      </c>
      <c r="M240" s="6">
        <f t="shared" si="138"/>
        <v>-0.64940759319751062</v>
      </c>
      <c r="N240" s="180">
        <f t="shared" si="138"/>
        <v>-0.64940759319751062</v>
      </c>
    </row>
    <row r="241" spans="2:14">
      <c r="B241" s="169" t="s">
        <v>36</v>
      </c>
      <c r="C241" s="6">
        <f>(C236-C232)*C231</f>
        <v>-0.8028514559173916</v>
      </c>
      <c r="D241" s="6">
        <f t="shared" ref="D241:N241" si="139">(D236-D232)*D231</f>
        <v>-0.8028514559173916</v>
      </c>
      <c r="E241" s="6">
        <f t="shared" si="139"/>
        <v>-0.8028514559173916</v>
      </c>
      <c r="F241" s="6">
        <f t="shared" si="139"/>
        <v>-0.8028514559173916</v>
      </c>
      <c r="G241" s="6">
        <f t="shared" si="139"/>
        <v>-0.8028514559173916</v>
      </c>
      <c r="H241" s="6">
        <f t="shared" si="139"/>
        <v>-0.8028514559173916</v>
      </c>
      <c r="I241" s="6">
        <f t="shared" si="139"/>
        <v>-0.8028514559173916</v>
      </c>
      <c r="J241" s="6">
        <f t="shared" si="139"/>
        <v>-0.8028514559173916</v>
      </c>
      <c r="K241" s="6">
        <f t="shared" si="139"/>
        <v>-0.8028514559173916</v>
      </c>
      <c r="L241" s="6">
        <f t="shared" si="139"/>
        <v>-0.8028514559173916</v>
      </c>
      <c r="M241" s="6">
        <f t="shared" si="139"/>
        <v>-0.8028514559173916</v>
      </c>
      <c r="N241" s="180">
        <f t="shared" si="139"/>
        <v>-0.8028514559173916</v>
      </c>
    </row>
    <row r="242" spans="2:14" ht="13">
      <c r="B242" s="25" t="s">
        <v>24</v>
      </c>
      <c r="C242" s="6">
        <f t="shared" ref="C242:N242" si="140">SIN(C241)</f>
        <v>-0.71933980033865108</v>
      </c>
      <c r="D242" s="6">
        <f t="shared" si="140"/>
        <v>-0.71933980033865108</v>
      </c>
      <c r="E242" s="6">
        <f t="shared" si="140"/>
        <v>-0.71933980033865108</v>
      </c>
      <c r="F242" s="6">
        <f t="shared" si="140"/>
        <v>-0.71933980033865108</v>
      </c>
      <c r="G242" s="6">
        <f t="shared" si="140"/>
        <v>-0.71933980033865108</v>
      </c>
      <c r="H242" s="6">
        <f t="shared" si="140"/>
        <v>-0.71933980033865108</v>
      </c>
      <c r="I242" s="6">
        <f t="shared" si="140"/>
        <v>-0.71933980033865108</v>
      </c>
      <c r="J242" s="6">
        <f t="shared" si="140"/>
        <v>-0.71933980033865108</v>
      </c>
      <c r="K242" s="6">
        <f t="shared" si="140"/>
        <v>-0.71933980033865108</v>
      </c>
      <c r="L242" s="6">
        <f t="shared" si="140"/>
        <v>-0.71933980033865108</v>
      </c>
      <c r="M242" s="6">
        <f t="shared" si="140"/>
        <v>-0.71933980033865108</v>
      </c>
      <c r="N242" s="180">
        <f t="shared" si="140"/>
        <v>-0.71933980033865108</v>
      </c>
    </row>
    <row r="243" spans="2:14" ht="13">
      <c r="B243" s="25" t="s">
        <v>25</v>
      </c>
      <c r="C243" s="6">
        <f>COS(C241)</f>
        <v>0.69465837045899725</v>
      </c>
      <c r="D243" s="6">
        <f t="shared" ref="D243:N243" si="141">COS(D241)</f>
        <v>0.69465837045899725</v>
      </c>
      <c r="E243" s="6">
        <f t="shared" si="141"/>
        <v>0.69465837045899725</v>
      </c>
      <c r="F243" s="6">
        <f t="shared" si="141"/>
        <v>0.69465837045899725</v>
      </c>
      <c r="G243" s="6">
        <f t="shared" si="141"/>
        <v>0.69465837045899725</v>
      </c>
      <c r="H243" s="6">
        <f t="shared" si="141"/>
        <v>0.69465837045899725</v>
      </c>
      <c r="I243" s="6">
        <f t="shared" si="141"/>
        <v>0.69465837045899725</v>
      </c>
      <c r="J243" s="6">
        <f t="shared" si="141"/>
        <v>0.69465837045899725</v>
      </c>
      <c r="K243" s="6">
        <f t="shared" si="141"/>
        <v>0.69465837045899725</v>
      </c>
      <c r="L243" s="6">
        <f t="shared" si="141"/>
        <v>0.69465837045899725</v>
      </c>
      <c r="M243" s="6">
        <f t="shared" si="141"/>
        <v>0.69465837045899725</v>
      </c>
      <c r="N243" s="180">
        <f t="shared" si="141"/>
        <v>0.69465837045899725</v>
      </c>
    </row>
    <row r="244" spans="2:14" ht="13">
      <c r="B244" s="25" t="s">
        <v>26</v>
      </c>
      <c r="C244" s="6">
        <f>TAN(C241)</f>
        <v>-1.0355303137905696</v>
      </c>
      <c r="D244" s="6">
        <f t="shared" ref="D244:N244" si="142">TAN(D241)</f>
        <v>-1.0355303137905696</v>
      </c>
      <c r="E244" s="6">
        <f t="shared" si="142"/>
        <v>-1.0355303137905696</v>
      </c>
      <c r="F244" s="6">
        <f t="shared" si="142"/>
        <v>-1.0355303137905696</v>
      </c>
      <c r="G244" s="6">
        <f t="shared" si="142"/>
        <v>-1.0355303137905696</v>
      </c>
      <c r="H244" s="6">
        <f t="shared" si="142"/>
        <v>-1.0355303137905696</v>
      </c>
      <c r="I244" s="6">
        <f t="shared" si="142"/>
        <v>-1.0355303137905696</v>
      </c>
      <c r="J244" s="6">
        <f t="shared" si="142"/>
        <v>-1.0355303137905696</v>
      </c>
      <c r="K244" s="6">
        <f t="shared" si="142"/>
        <v>-1.0355303137905696</v>
      </c>
      <c r="L244" s="6">
        <f t="shared" si="142"/>
        <v>-1.0355303137905696</v>
      </c>
      <c r="M244" s="6">
        <f t="shared" si="142"/>
        <v>-1.0355303137905696</v>
      </c>
      <c r="N244" s="180">
        <f t="shared" si="142"/>
        <v>-1.0355303137905696</v>
      </c>
    </row>
    <row r="245" spans="2:14" ht="13">
      <c r="B245" s="170" t="s">
        <v>37</v>
      </c>
      <c r="C245" s="6">
        <f>COS(37.5*C231)</f>
        <v>0.79335334029123517</v>
      </c>
      <c r="D245" s="6">
        <f t="shared" ref="D245:N245" si="143">COS(37.5*D231)</f>
        <v>0.79335334029123517</v>
      </c>
      <c r="E245" s="6">
        <f t="shared" si="143"/>
        <v>0.79335334029123517</v>
      </c>
      <c r="F245" s="6">
        <f t="shared" si="143"/>
        <v>0.79335334029123517</v>
      </c>
      <c r="G245" s="6">
        <f t="shared" si="143"/>
        <v>0.79335334029123517</v>
      </c>
      <c r="H245" s="6">
        <f t="shared" si="143"/>
        <v>0.79335334029123517</v>
      </c>
      <c r="I245" s="6">
        <f t="shared" si="143"/>
        <v>0.79335334029123517</v>
      </c>
      <c r="J245" s="6">
        <f t="shared" si="143"/>
        <v>0.79335334029123517</v>
      </c>
      <c r="K245" s="6">
        <f t="shared" si="143"/>
        <v>0.79335334029123517</v>
      </c>
      <c r="L245" s="6">
        <f t="shared" si="143"/>
        <v>0.79335334029123517</v>
      </c>
      <c r="M245" s="6">
        <f t="shared" si="143"/>
        <v>0.79335334029123517</v>
      </c>
      <c r="N245" s="180">
        <f t="shared" si="143"/>
        <v>0.79335334029123517</v>
      </c>
    </row>
    <row r="246" spans="2:14" ht="13">
      <c r="B246" s="170" t="s">
        <v>38</v>
      </c>
      <c r="C246" s="6">
        <f>23.45*C231</f>
        <v>0.40927970959267029</v>
      </c>
      <c r="D246" s="6">
        <f t="shared" ref="D246:N246" si="144">23.45*D231</f>
        <v>0.40927970959267029</v>
      </c>
      <c r="E246" s="6">
        <f t="shared" si="144"/>
        <v>0.40927970959267029</v>
      </c>
      <c r="F246" s="6">
        <f t="shared" si="144"/>
        <v>0.40927970959267029</v>
      </c>
      <c r="G246" s="6">
        <f t="shared" si="144"/>
        <v>0.40927970959267029</v>
      </c>
      <c r="H246" s="6">
        <f t="shared" si="144"/>
        <v>0.40927970959267029</v>
      </c>
      <c r="I246" s="6">
        <f t="shared" si="144"/>
        <v>0.40927970959267029</v>
      </c>
      <c r="J246" s="6">
        <f t="shared" si="144"/>
        <v>0.40927970959267029</v>
      </c>
      <c r="K246" s="6">
        <f t="shared" si="144"/>
        <v>0.40927970959267029</v>
      </c>
      <c r="L246" s="6">
        <f t="shared" si="144"/>
        <v>0.40927970959267029</v>
      </c>
      <c r="M246" s="6">
        <f t="shared" si="144"/>
        <v>0.40927970959267029</v>
      </c>
      <c r="N246" s="180">
        <f t="shared" si="144"/>
        <v>0.40927970959267029</v>
      </c>
    </row>
    <row r="247" spans="2:14">
      <c r="B247" s="10" t="s">
        <v>15</v>
      </c>
      <c r="C247" s="1">
        <v>31</v>
      </c>
      <c r="D247" s="1">
        <v>28</v>
      </c>
      <c r="E247" s="1">
        <v>31</v>
      </c>
      <c r="F247" s="1">
        <v>30</v>
      </c>
      <c r="G247" s="1">
        <v>31</v>
      </c>
      <c r="H247" s="1">
        <v>30</v>
      </c>
      <c r="I247" s="1">
        <v>31</v>
      </c>
      <c r="J247" s="1">
        <v>31</v>
      </c>
      <c r="K247" s="1">
        <v>30</v>
      </c>
      <c r="L247" s="1">
        <v>31</v>
      </c>
      <c r="M247" s="1">
        <v>30</v>
      </c>
      <c r="N247" s="2">
        <v>31</v>
      </c>
    </row>
    <row r="248" spans="2:14" ht="13">
      <c r="B248" s="170" t="s">
        <v>27</v>
      </c>
      <c r="C248" s="6">
        <f>1353*3.6</f>
        <v>4870.8</v>
      </c>
      <c r="D248" s="6">
        <f t="shared" ref="D248:N248" si="145">1353*3.6</f>
        <v>4870.8</v>
      </c>
      <c r="E248" s="6">
        <f t="shared" si="145"/>
        <v>4870.8</v>
      </c>
      <c r="F248" s="6">
        <f t="shared" si="145"/>
        <v>4870.8</v>
      </c>
      <c r="G248" s="6">
        <f t="shared" si="145"/>
        <v>4870.8</v>
      </c>
      <c r="H248" s="6">
        <f t="shared" si="145"/>
        <v>4870.8</v>
      </c>
      <c r="I248" s="6">
        <f t="shared" si="145"/>
        <v>4870.8</v>
      </c>
      <c r="J248" s="6">
        <f t="shared" si="145"/>
        <v>4870.8</v>
      </c>
      <c r="K248" s="6">
        <f t="shared" si="145"/>
        <v>4870.8</v>
      </c>
      <c r="L248" s="6">
        <f t="shared" si="145"/>
        <v>4870.8</v>
      </c>
      <c r="M248" s="6">
        <f t="shared" si="145"/>
        <v>4870.8</v>
      </c>
      <c r="N248" s="180">
        <f t="shared" si="145"/>
        <v>4870.8</v>
      </c>
    </row>
    <row r="249" spans="2:14" ht="13.5" thickBot="1">
      <c r="B249" s="25" t="s">
        <v>28</v>
      </c>
      <c r="C249" s="6">
        <f t="shared" ref="C249:N249" si="146">(24*C248)/PI()</f>
        <v>37210.171046976189</v>
      </c>
      <c r="D249" s="6">
        <f t="shared" si="146"/>
        <v>37210.171046976189</v>
      </c>
      <c r="E249" s="6">
        <f t="shared" si="146"/>
        <v>37210.171046976189</v>
      </c>
      <c r="F249" s="6">
        <f t="shared" si="146"/>
        <v>37210.171046976189</v>
      </c>
      <c r="G249" s="6">
        <f t="shared" si="146"/>
        <v>37210.171046976189</v>
      </c>
      <c r="H249" s="6">
        <f t="shared" si="146"/>
        <v>37210.171046976189</v>
      </c>
      <c r="I249" s="6">
        <f t="shared" si="146"/>
        <v>37210.171046976189</v>
      </c>
      <c r="J249" s="6">
        <f t="shared" si="146"/>
        <v>37210.171046976189</v>
      </c>
      <c r="K249" s="6">
        <f t="shared" si="146"/>
        <v>37210.171046976189</v>
      </c>
      <c r="L249" s="6">
        <f t="shared" si="146"/>
        <v>37210.171046976189</v>
      </c>
      <c r="M249" s="6">
        <f t="shared" si="146"/>
        <v>37210.171046976189</v>
      </c>
      <c r="N249" s="181">
        <f t="shared" si="146"/>
        <v>37210.171046976189</v>
      </c>
    </row>
    <row r="250" spans="2:14" ht="13">
      <c r="B250" s="23" t="s">
        <v>15</v>
      </c>
      <c r="C250" s="24">
        <v>15</v>
      </c>
      <c r="D250" s="24">
        <v>46</v>
      </c>
      <c r="E250" s="24">
        <v>74</v>
      </c>
      <c r="F250" s="24">
        <v>105</v>
      </c>
      <c r="G250" s="24">
        <v>135</v>
      </c>
      <c r="H250" s="24">
        <v>166</v>
      </c>
      <c r="I250" s="24">
        <v>196</v>
      </c>
      <c r="J250" s="24">
        <v>227</v>
      </c>
      <c r="K250" s="24">
        <v>258</v>
      </c>
      <c r="L250" s="24">
        <v>270</v>
      </c>
      <c r="M250" s="24">
        <v>319</v>
      </c>
      <c r="N250" s="26">
        <v>349</v>
      </c>
    </row>
    <row r="251" spans="2:14" ht="13">
      <c r="B251" s="170" t="s">
        <v>39</v>
      </c>
      <c r="C251" s="6">
        <f>(360*C231)/365</f>
        <v>1.7214206321039961E-2</v>
      </c>
      <c r="D251" s="6">
        <f t="shared" ref="D251:N251" si="147">(360*D231)/365</f>
        <v>1.7214206321039961E-2</v>
      </c>
      <c r="E251" s="6">
        <f t="shared" si="147"/>
        <v>1.7214206321039961E-2</v>
      </c>
      <c r="F251" s="6">
        <f t="shared" si="147"/>
        <v>1.7214206321039961E-2</v>
      </c>
      <c r="G251" s="6">
        <f t="shared" si="147"/>
        <v>1.7214206321039961E-2</v>
      </c>
      <c r="H251" s="6">
        <f t="shared" si="147"/>
        <v>1.7214206321039961E-2</v>
      </c>
      <c r="I251" s="6">
        <f t="shared" si="147"/>
        <v>1.7214206321039961E-2</v>
      </c>
      <c r="J251" s="6">
        <f t="shared" si="147"/>
        <v>1.7214206321039961E-2</v>
      </c>
      <c r="K251" s="6">
        <f t="shared" si="147"/>
        <v>1.7214206321039961E-2</v>
      </c>
      <c r="L251" s="6">
        <f t="shared" si="147"/>
        <v>1.7214206321039961E-2</v>
      </c>
      <c r="M251" s="6">
        <f t="shared" si="147"/>
        <v>1.7214206321039961E-2</v>
      </c>
      <c r="N251" s="180">
        <f t="shared" si="147"/>
        <v>1.7214206321039961E-2</v>
      </c>
    </row>
    <row r="252" spans="2:14" ht="13">
      <c r="B252" s="170" t="s">
        <v>40</v>
      </c>
      <c r="C252" s="6">
        <f t="shared" ref="C252:N252" si="148">C246*SIN(C251*(284+C250))</f>
        <v>-0.37122234990040354</v>
      </c>
      <c r="D252" s="6">
        <f t="shared" si="148"/>
        <v>-0.23193953024048489</v>
      </c>
      <c r="E252" s="6">
        <f t="shared" si="148"/>
        <v>-4.9198713707110125E-2</v>
      </c>
      <c r="F252" s="6">
        <f t="shared" si="148"/>
        <v>0.16432088762716554</v>
      </c>
      <c r="G252" s="6">
        <f t="shared" si="148"/>
        <v>0.32798083344699769</v>
      </c>
      <c r="H252" s="6">
        <f t="shared" si="148"/>
        <v>0.40691321620538912</v>
      </c>
      <c r="I252" s="6">
        <f t="shared" si="148"/>
        <v>0.37554836000057829</v>
      </c>
      <c r="J252" s="6">
        <f t="shared" si="148"/>
        <v>0.24056857736111795</v>
      </c>
      <c r="K252" s="6">
        <f t="shared" si="148"/>
        <v>3.8691973511018649E-2</v>
      </c>
      <c r="L252" s="6">
        <f t="shared" si="148"/>
        <v>-4.5699766008172903E-2</v>
      </c>
      <c r="M252" s="6">
        <f t="shared" si="148"/>
        <v>-0.33419245656714902</v>
      </c>
      <c r="N252" s="180">
        <f t="shared" si="148"/>
        <v>-0.40727641274141724</v>
      </c>
    </row>
    <row r="253" spans="2:14" ht="13">
      <c r="B253" s="25" t="s">
        <v>42</v>
      </c>
      <c r="C253" s="6">
        <f t="shared" ref="C253:N253" si="149">SIN(C252)</f>
        <v>-0.36275479176733588</v>
      </c>
      <c r="D253" s="6">
        <f t="shared" si="149"/>
        <v>-0.22986554896822295</v>
      </c>
      <c r="E253" s="6">
        <f t="shared" si="149"/>
        <v>-4.9178868417837161E-2</v>
      </c>
      <c r="F253" s="6">
        <f t="shared" si="149"/>
        <v>0.16358240425600395</v>
      </c>
      <c r="G253" s="6">
        <f t="shared" si="149"/>
        <v>0.32213215206816698</v>
      </c>
      <c r="H253" s="6">
        <f t="shared" si="149"/>
        <v>0.39577647976650848</v>
      </c>
      <c r="I253" s="6">
        <f t="shared" si="149"/>
        <v>0.36678272715173194</v>
      </c>
      <c r="J253" s="6">
        <f t="shared" si="149"/>
        <v>0.23825486875759558</v>
      </c>
      <c r="K253" s="6">
        <f t="shared" si="149"/>
        <v>3.868232014248444E-2</v>
      </c>
      <c r="L253" s="6">
        <f t="shared" si="149"/>
        <v>-4.5683860581339865E-2</v>
      </c>
      <c r="M253" s="6">
        <f t="shared" si="149"/>
        <v>-0.32800641041381234</v>
      </c>
      <c r="N253" s="180">
        <f t="shared" si="149"/>
        <v>-0.3961099940583282</v>
      </c>
    </row>
    <row r="254" spans="2:14" ht="13">
      <c r="B254" s="25" t="s">
        <v>43</v>
      </c>
      <c r="C254" s="6">
        <f>COS(C252)</f>
        <v>0.93188462861549382</v>
      </c>
      <c r="D254" s="6">
        <f t="shared" ref="D254:N254" si="150">COS(D252)</f>
        <v>0.97322239462393045</v>
      </c>
      <c r="E254" s="6">
        <f t="shared" si="150"/>
        <v>0.99878998738530667</v>
      </c>
      <c r="F254" s="6">
        <f t="shared" si="150"/>
        <v>0.9865296736631014</v>
      </c>
      <c r="G254" s="6">
        <f t="shared" si="150"/>
        <v>0.94669471140591643</v>
      </c>
      <c r="H254" s="6">
        <f t="shared" si="150"/>
        <v>0.91834687240912982</v>
      </c>
      <c r="I254" s="6">
        <f t="shared" si="150"/>
        <v>0.93030663281691062</v>
      </c>
      <c r="J254" s="6">
        <f t="shared" si="150"/>
        <v>0.97120266552007617</v>
      </c>
      <c r="K254" s="6">
        <f t="shared" si="150"/>
        <v>0.99925155897221118</v>
      </c>
      <c r="L254" s="6">
        <f t="shared" si="150"/>
        <v>0.99895594741829563</v>
      </c>
      <c r="M254" s="6">
        <f t="shared" si="150"/>
        <v>0.94467549705041343</v>
      </c>
      <c r="N254" s="180">
        <f t="shared" si="150"/>
        <v>0.91820306719543865</v>
      </c>
    </row>
    <row r="255" spans="2:14" ht="13">
      <c r="B255" s="170" t="s">
        <v>44</v>
      </c>
      <c r="C255" s="6">
        <f>-C240*TAN(C252)</f>
        <v>-0.25279493727939895</v>
      </c>
      <c r="D255" s="6">
        <f t="shared" ref="D255:N255" si="151">-D240*TAN(D252)</f>
        <v>-0.15338368058429347</v>
      </c>
      <c r="E255" s="6">
        <f t="shared" si="151"/>
        <v>-3.1975821723054777E-2</v>
      </c>
      <c r="F255" s="6">
        <f t="shared" si="151"/>
        <v>0.10768216939983473</v>
      </c>
      <c r="G255" s="6">
        <f t="shared" si="151"/>
        <v>0.22097415676427687</v>
      </c>
      <c r="H255" s="6">
        <f t="shared" si="151"/>
        <v>0.27987273533703205</v>
      </c>
      <c r="I255" s="6">
        <f t="shared" si="151"/>
        <v>0.25603546149595474</v>
      </c>
      <c r="J255" s="6">
        <f t="shared" si="151"/>
        <v>0.15931229019496604</v>
      </c>
      <c r="K255" s="6">
        <f t="shared" si="151"/>
        <v>2.5139407787228688E-2</v>
      </c>
      <c r="L255" s="6">
        <f t="shared" si="151"/>
        <v>-2.9698452694306664E-2</v>
      </c>
      <c r="M255" s="6">
        <f t="shared" si="151"/>
        <v>-0.2254846814649849</v>
      </c>
      <c r="N255" s="180">
        <f t="shared" si="151"/>
        <v>-0.2801524489224414</v>
      </c>
    </row>
    <row r="256" spans="2:14" ht="13">
      <c r="B256" s="170" t="s">
        <v>44</v>
      </c>
      <c r="C256" s="6">
        <f t="shared" ref="C256:N256" si="152">ATAN(SQRT(1-C255^2)/C255)/C231</f>
        <v>-75.357035975139581</v>
      </c>
      <c r="D256" s="6">
        <f t="shared" si="152"/>
        <v>-81.176932953233873</v>
      </c>
      <c r="E256" s="6">
        <f t="shared" si="152"/>
        <v>-88.167608022467178</v>
      </c>
      <c r="F256" s="6">
        <f t="shared" si="152"/>
        <v>83.818280042663901</v>
      </c>
      <c r="G256" s="6">
        <f t="shared" si="152"/>
        <v>77.233743659218291</v>
      </c>
      <c r="H256" s="6">
        <f t="shared" si="152"/>
        <v>73.747390694945281</v>
      </c>
      <c r="I256" s="6">
        <f t="shared" si="152"/>
        <v>75.165050235055276</v>
      </c>
      <c r="J256" s="6">
        <f t="shared" si="152"/>
        <v>80.833018649384044</v>
      </c>
      <c r="K256" s="6">
        <f t="shared" si="152"/>
        <v>88.559466273378604</v>
      </c>
      <c r="L256" s="6">
        <f t="shared" si="152"/>
        <v>-88.298153769146509</v>
      </c>
      <c r="M256" s="6">
        <f t="shared" si="152"/>
        <v>-76.968619195469273</v>
      </c>
      <c r="N256" s="180">
        <f t="shared" si="152"/>
        <v>-73.730696456088936</v>
      </c>
    </row>
    <row r="257" spans="2:14" ht="13">
      <c r="B257" s="170" t="s">
        <v>44</v>
      </c>
      <c r="C257" s="6">
        <f t="shared" ref="C257:N257" si="153">IF(C256&lt;0,C256+180,C256)</f>
        <v>104.64296402486042</v>
      </c>
      <c r="D257" s="6">
        <f t="shared" si="153"/>
        <v>98.823067046766127</v>
      </c>
      <c r="E257" s="6">
        <f t="shared" si="153"/>
        <v>91.832391977532822</v>
      </c>
      <c r="F257" s="6">
        <f t="shared" si="153"/>
        <v>83.818280042663901</v>
      </c>
      <c r="G257" s="6">
        <f t="shared" si="153"/>
        <v>77.233743659218291</v>
      </c>
      <c r="H257" s="6">
        <f t="shared" si="153"/>
        <v>73.747390694945281</v>
      </c>
      <c r="I257" s="6">
        <f t="shared" si="153"/>
        <v>75.165050235055276</v>
      </c>
      <c r="J257" s="6">
        <f t="shared" si="153"/>
        <v>80.833018649384044</v>
      </c>
      <c r="K257" s="6">
        <f t="shared" si="153"/>
        <v>88.559466273378604</v>
      </c>
      <c r="L257" s="6">
        <f t="shared" si="153"/>
        <v>91.701846230853491</v>
      </c>
      <c r="M257" s="6">
        <f t="shared" si="153"/>
        <v>103.03138080453073</v>
      </c>
      <c r="N257" s="180">
        <f t="shared" si="153"/>
        <v>106.26930354391106</v>
      </c>
    </row>
    <row r="258" spans="2:14" ht="13">
      <c r="B258" s="170" t="s">
        <v>52</v>
      </c>
      <c r="C258" s="6">
        <f t="shared" ref="C258:N258" si="154">C257*C231</f>
        <v>1.8263642612797917</v>
      </c>
      <c r="D258" s="6">
        <f t="shared" si="154"/>
        <v>1.724787896885178</v>
      </c>
      <c r="E258" s="6">
        <f t="shared" si="154"/>
        <v>1.6027775999899743</v>
      </c>
      <c r="F258" s="6">
        <f t="shared" si="154"/>
        <v>1.4629049601031383</v>
      </c>
      <c r="G258" s="6">
        <f t="shared" si="154"/>
        <v>1.3479831204946526</v>
      </c>
      <c r="H258" s="6">
        <f t="shared" si="154"/>
        <v>1.2871347823814243</v>
      </c>
      <c r="I258" s="6">
        <f t="shared" si="154"/>
        <v>1.3118776090286524</v>
      </c>
      <c r="J258" s="6">
        <f t="shared" si="154"/>
        <v>1.4108023197577315</v>
      </c>
      <c r="K258" s="6">
        <f t="shared" si="154"/>
        <v>1.5456542702793294</v>
      </c>
      <c r="L258" s="6">
        <f t="shared" si="154"/>
        <v>1.6004991468859455</v>
      </c>
      <c r="M258" s="6">
        <f t="shared" si="154"/>
        <v>1.7982368279151453</v>
      </c>
      <c r="N258" s="180">
        <f t="shared" si="154"/>
        <v>1.8547492406425266</v>
      </c>
    </row>
    <row r="259" spans="2:14" ht="13">
      <c r="B259" s="25" t="s">
        <v>45</v>
      </c>
      <c r="C259" s="6">
        <f>-C244*TAN(C252)</f>
        <v>-0.4031009545741277</v>
      </c>
      <c r="D259" s="6">
        <f t="shared" ref="D259:N259" si="155">-D244*TAN(D252)</f>
        <v>-0.24458206610081684</v>
      </c>
      <c r="E259" s="6">
        <f t="shared" si="155"/>
        <v>-5.0987905052898845E-2</v>
      </c>
      <c r="F259" s="6">
        <f t="shared" si="155"/>
        <v>0.17170749439381144</v>
      </c>
      <c r="G259" s="6">
        <f t="shared" si="155"/>
        <v>0.35236027464206637</v>
      </c>
      <c r="H259" s="6">
        <f t="shared" si="155"/>
        <v>0.44627858448343871</v>
      </c>
      <c r="I259" s="6">
        <f t="shared" si="155"/>
        <v>0.40826821946903541</v>
      </c>
      <c r="J259" s="6">
        <f t="shared" si="155"/>
        <v>0.25403568973378593</v>
      </c>
      <c r="K259" s="6">
        <f t="shared" si="155"/>
        <v>4.0086717659459918E-2</v>
      </c>
      <c r="L259" s="6">
        <f t="shared" si="155"/>
        <v>-4.7356465122631176E-2</v>
      </c>
      <c r="M259" s="6">
        <f t="shared" si="155"/>
        <v>-0.35955265290744293</v>
      </c>
      <c r="N259" s="180">
        <f t="shared" si="155"/>
        <v>-0.44672460929113189</v>
      </c>
    </row>
    <row r="260" spans="2:14" ht="13">
      <c r="B260" s="25" t="s">
        <v>45</v>
      </c>
      <c r="C260" s="6">
        <f t="shared" ref="C260:N260" si="156">ATAN(SQRT(1-C259^2)/C259)/C231</f>
        <v>-66.227822192029564</v>
      </c>
      <c r="D260" s="6">
        <f t="shared" si="156"/>
        <v>-75.842863512492031</v>
      </c>
      <c r="E260" s="6">
        <f t="shared" si="156"/>
        <v>-87.077340928357543</v>
      </c>
      <c r="F260" s="6">
        <f t="shared" si="156"/>
        <v>80.11288875507465</v>
      </c>
      <c r="G260" s="6">
        <f t="shared" si="156"/>
        <v>69.368251815476995</v>
      </c>
      <c r="H260" s="6">
        <f t="shared" si="156"/>
        <v>63.494828712419107</v>
      </c>
      <c r="I260" s="6">
        <f t="shared" si="156"/>
        <v>65.903906610093998</v>
      </c>
      <c r="J260" s="6">
        <f t="shared" si="156"/>
        <v>75.28354723970871</v>
      </c>
      <c r="K260" s="6">
        <f t="shared" si="156"/>
        <v>87.70258467988269</v>
      </c>
      <c r="L260" s="6">
        <f t="shared" si="156"/>
        <v>-87.285659224572782</v>
      </c>
      <c r="M260" s="6">
        <f t="shared" si="156"/>
        <v>-68.927274544904805</v>
      </c>
      <c r="N260" s="180">
        <f t="shared" si="156"/>
        <v>-63.466268330539855</v>
      </c>
    </row>
    <row r="261" spans="2:14" ht="13">
      <c r="B261" s="25" t="s">
        <v>45</v>
      </c>
      <c r="C261" s="6">
        <f t="shared" ref="C261:N261" si="157">IF(C260&lt;0,C260+180,C260)</f>
        <v>113.77217780797044</v>
      </c>
      <c r="D261" s="6">
        <f t="shared" si="157"/>
        <v>104.15713648750797</v>
      </c>
      <c r="E261" s="6">
        <f t="shared" si="157"/>
        <v>92.922659071642457</v>
      </c>
      <c r="F261" s="6">
        <f t="shared" si="157"/>
        <v>80.11288875507465</v>
      </c>
      <c r="G261" s="6">
        <f t="shared" si="157"/>
        <v>69.368251815476995</v>
      </c>
      <c r="H261" s="6">
        <f t="shared" si="157"/>
        <v>63.494828712419107</v>
      </c>
      <c r="I261" s="6">
        <f t="shared" si="157"/>
        <v>65.903906610093998</v>
      </c>
      <c r="J261" s="6">
        <f t="shared" si="157"/>
        <v>75.28354723970871</v>
      </c>
      <c r="K261" s="6">
        <f t="shared" si="157"/>
        <v>87.70258467988269</v>
      </c>
      <c r="L261" s="6">
        <f t="shared" si="157"/>
        <v>92.714340775427218</v>
      </c>
      <c r="M261" s="6">
        <f t="shared" si="157"/>
        <v>111.0727254550952</v>
      </c>
      <c r="N261" s="180">
        <f t="shared" si="157"/>
        <v>116.53373166946014</v>
      </c>
    </row>
    <row r="262" spans="2:14" ht="13">
      <c r="B262" s="25" t="s">
        <v>46</v>
      </c>
      <c r="C262" s="6">
        <f t="shared" ref="C262:N262" si="158">C261*C231</f>
        <v>1.9856990999135091</v>
      </c>
      <c r="D262" s="6">
        <f t="shared" si="158"/>
        <v>1.8178849711561358</v>
      </c>
      <c r="E262" s="6">
        <f t="shared" si="158"/>
        <v>1.6218063505083382</v>
      </c>
      <c r="F262" s="6">
        <f t="shared" si="158"/>
        <v>1.3982336820599937</v>
      </c>
      <c r="G262" s="6">
        <f t="shared" si="158"/>
        <v>1.2107043905326076</v>
      </c>
      <c r="H262" s="6">
        <f t="shared" si="158"/>
        <v>1.1081938190215452</v>
      </c>
      <c r="I262" s="6">
        <f t="shared" si="158"/>
        <v>1.150240160272995</v>
      </c>
      <c r="J262" s="6">
        <f t="shared" si="158"/>
        <v>1.3139457719136058</v>
      </c>
      <c r="K262" s="6">
        <f t="shared" si="158"/>
        <v>1.53069886517309</v>
      </c>
      <c r="L262" s="6">
        <f t="shared" si="158"/>
        <v>1.6181705103472375</v>
      </c>
      <c r="M262" s="6">
        <f t="shared" si="158"/>
        <v>1.9385847683551283</v>
      </c>
      <c r="N262" s="180">
        <f t="shared" si="158"/>
        <v>2.0338973072676678</v>
      </c>
    </row>
    <row r="263" spans="2:14" ht="13">
      <c r="B263" s="170" t="s">
        <v>47</v>
      </c>
      <c r="C263" s="6">
        <f>C258*C238*C253+C239*C254*SIN(C258)</f>
        <v>1.1169951152829716</v>
      </c>
      <c r="D263" s="6">
        <f t="shared" ref="D263:N263" si="159">D258*D238*D253+D239*D254*SIN(D258)</f>
        <v>1.0224871595686147</v>
      </c>
      <c r="E263" s="6">
        <f t="shared" si="159"/>
        <v>0.88015739213312139</v>
      </c>
      <c r="F263" s="6">
        <f t="shared" si="159"/>
        <v>0.69222740934784766</v>
      </c>
      <c r="G263" s="6">
        <f t="shared" si="159"/>
        <v>0.53784000745338212</v>
      </c>
      <c r="H263" s="6">
        <f t="shared" si="159"/>
        <v>0.4619627049485312</v>
      </c>
      <c r="I263" s="6">
        <f t="shared" si="159"/>
        <v>0.49214782785352545</v>
      </c>
      <c r="J263" s="6">
        <f t="shared" si="159"/>
        <v>0.6210464443360949</v>
      </c>
      <c r="K263" s="6">
        <f t="shared" si="159"/>
        <v>0.8052143214044124</v>
      </c>
      <c r="L263" s="6">
        <f t="shared" si="159"/>
        <v>0.87724776486471778</v>
      </c>
      <c r="M263" s="6">
        <f t="shared" si="159"/>
        <v>1.0931141283331729</v>
      </c>
      <c r="N263" s="180">
        <f t="shared" si="159"/>
        <v>1.1393708135012601</v>
      </c>
    </row>
    <row r="264" spans="2:14" ht="13">
      <c r="B264" s="170" t="s">
        <v>47</v>
      </c>
      <c r="C264" s="6">
        <f t="shared" ref="C264:N264" si="160">C249*(1+0.033*COS(C251*C250))*C263</f>
        <v>42889.705938732419</v>
      </c>
      <c r="D264" s="6">
        <f t="shared" si="160"/>
        <v>38928.979367638691</v>
      </c>
      <c r="E264" s="6">
        <f t="shared" si="160"/>
        <v>33067.042715566859</v>
      </c>
      <c r="F264" s="6">
        <f t="shared" si="160"/>
        <v>25558.580112683896</v>
      </c>
      <c r="G264" s="6">
        <f t="shared" si="160"/>
        <v>19561.435775166199</v>
      </c>
      <c r="H264" s="6">
        <f t="shared" si="160"/>
        <v>16645.179397969245</v>
      </c>
      <c r="I264" s="6">
        <f t="shared" si="160"/>
        <v>17724.824278593533</v>
      </c>
      <c r="J264" s="6">
        <f t="shared" si="160"/>
        <v>22559.660002769513</v>
      </c>
      <c r="K264" s="6">
        <f t="shared" si="160"/>
        <v>29697.36086866746</v>
      </c>
      <c r="L264" s="6">
        <f t="shared" si="160"/>
        <v>32573.050634341915</v>
      </c>
      <c r="M264" s="6">
        <f t="shared" si="160"/>
        <v>41617.947912724703</v>
      </c>
      <c r="N264" s="180">
        <f t="shared" si="160"/>
        <v>43742.524499511528</v>
      </c>
    </row>
    <row r="265" spans="2:14" ht="13">
      <c r="B265" s="170" t="s">
        <v>53</v>
      </c>
      <c r="C265" s="6">
        <f>VLOOKUP('Inclination angle'!$P$12,$A$3:$O$71,3,FALSE)*86.01</f>
        <v>15739.830000000002</v>
      </c>
      <c r="D265" s="6">
        <f>VLOOKUP('Inclination angle'!$P$12,$A$3:$O$71,4,FALSE)*86.01</f>
        <v>13417.560000000001</v>
      </c>
      <c r="E265" s="6">
        <f>VLOOKUP('Inclination angle'!$P$12,$A$3:$O$71,5,FALSE)*86.01</f>
        <v>10837.26</v>
      </c>
      <c r="F265" s="6">
        <f>VLOOKUP('Inclination angle'!$P$12,$A$3:$O$71,6,FALSE)*86.01</f>
        <v>7224.84</v>
      </c>
      <c r="G265" s="6">
        <f>VLOOKUP('Inclination angle'!$P$12,$A$3:$O$71,7,FALSE)*86.01</f>
        <v>4902.5700000000006</v>
      </c>
      <c r="H265" s="6">
        <f>VLOOKUP('Inclination angle'!$P$12,$A$3:$O$71,8,FALSE)*86.01</f>
        <v>3870.4500000000003</v>
      </c>
      <c r="I265" s="6">
        <f>VLOOKUP('Inclination angle'!$P$12,$A$3:$O$71,9,FALSE)*86.01</f>
        <v>4644.54</v>
      </c>
      <c r="J265" s="6">
        <f>VLOOKUP('Inclination angle'!$P$12,$A$3:$O$71,10,FALSE)*86.01</f>
        <v>6708.7800000000007</v>
      </c>
      <c r="K265" s="6">
        <f>VLOOKUP('Inclination angle'!$P$12,$A$3:$O$71,11,FALSE)*86.01</f>
        <v>9289.08</v>
      </c>
      <c r="L265" s="6">
        <f>VLOOKUP('Inclination angle'!$P$12,$A$3:$O$71,12,FALSE)*86.01</f>
        <v>11611.35</v>
      </c>
      <c r="M265" s="6">
        <f>VLOOKUP('Inclination angle'!$P$12,$A$3:$O$71,13,FALSE)*86.01</f>
        <v>14449.68</v>
      </c>
      <c r="N265" s="180">
        <f>VLOOKUP('Inclination angle'!$P$12,$A$3:$O$71,14,FALSE)*86.01</f>
        <v>15739.830000000002</v>
      </c>
    </row>
    <row r="266" spans="2:14" ht="13">
      <c r="B266" s="170" t="s">
        <v>48</v>
      </c>
      <c r="C266" s="6">
        <f t="shared" ref="C266:N266" si="161">C265/C264</f>
        <v>0.36698386373840414</v>
      </c>
      <c r="D266" s="6">
        <f t="shared" si="161"/>
        <v>0.34466765422455176</v>
      </c>
      <c r="E266" s="6">
        <f t="shared" si="161"/>
        <v>0.32773599058189079</v>
      </c>
      <c r="F266" s="6">
        <f t="shared" si="161"/>
        <v>0.28267767490004447</v>
      </c>
      <c r="G266" s="6">
        <f t="shared" si="161"/>
        <v>0.25062424130563837</v>
      </c>
      <c r="H266" s="6">
        <f t="shared" si="161"/>
        <v>0.23252678192655618</v>
      </c>
      <c r="I266" s="6">
        <f t="shared" si="161"/>
        <v>0.26203588407977974</v>
      </c>
      <c r="J266" s="6">
        <f t="shared" si="161"/>
        <v>0.29737948174646267</v>
      </c>
      <c r="K266" s="6">
        <f t="shared" si="161"/>
        <v>0.31279143089783951</v>
      </c>
      <c r="L266" s="6">
        <f t="shared" si="161"/>
        <v>0.35647106346735918</v>
      </c>
      <c r="M266" s="6">
        <f t="shared" si="161"/>
        <v>0.34719828162363586</v>
      </c>
      <c r="N266" s="180">
        <f t="shared" si="161"/>
        <v>0.35982902633284847</v>
      </c>
    </row>
    <row r="267" spans="2:14" ht="13">
      <c r="B267" s="170" t="s">
        <v>49</v>
      </c>
      <c r="C267" s="6">
        <f t="shared" ref="C267:N267" si="162">C266</f>
        <v>0.36698386373840414</v>
      </c>
      <c r="D267" s="6">
        <f t="shared" si="162"/>
        <v>0.34466765422455176</v>
      </c>
      <c r="E267" s="6">
        <f t="shared" si="162"/>
        <v>0.32773599058189079</v>
      </c>
      <c r="F267" s="6">
        <f t="shared" si="162"/>
        <v>0.28267767490004447</v>
      </c>
      <c r="G267" s="6">
        <f t="shared" si="162"/>
        <v>0.25062424130563837</v>
      </c>
      <c r="H267" s="6">
        <f t="shared" si="162"/>
        <v>0.23252678192655618</v>
      </c>
      <c r="I267" s="6">
        <f t="shared" si="162"/>
        <v>0.26203588407977974</v>
      </c>
      <c r="J267" s="6">
        <f t="shared" si="162"/>
        <v>0.29737948174646267</v>
      </c>
      <c r="K267" s="6">
        <f t="shared" si="162"/>
        <v>0.31279143089783951</v>
      </c>
      <c r="L267" s="6">
        <f t="shared" si="162"/>
        <v>0.35647106346735918</v>
      </c>
      <c r="M267" s="6">
        <f t="shared" si="162"/>
        <v>0.34719828162363586</v>
      </c>
      <c r="N267" s="180">
        <f t="shared" si="162"/>
        <v>0.35982902633284847</v>
      </c>
    </row>
    <row r="268" spans="2:14" ht="13">
      <c r="B268" s="170" t="s">
        <v>50</v>
      </c>
      <c r="C268" s="6">
        <f>1.39-4.03*C266+5.53*C266^2-3.11*C266^3</f>
        <v>0.50210999595086325</v>
      </c>
      <c r="D268" s="6">
        <f t="shared" ref="D268:N268" si="163">1.39-4.03*D266+5.53*D266^2-3.11*D266^3</f>
        <v>0.53059092440270417</v>
      </c>
      <c r="E268" s="6">
        <f t="shared" si="163"/>
        <v>0.55372662350658697</v>
      </c>
      <c r="F268" s="6">
        <f t="shared" si="163"/>
        <v>0.62244468888591808</v>
      </c>
      <c r="G268" s="6">
        <f t="shared" si="163"/>
        <v>0.67837881927337285</v>
      </c>
      <c r="H268" s="6">
        <f t="shared" si="163"/>
        <v>0.71281677183707282</v>
      </c>
      <c r="I268" s="6">
        <f t="shared" si="163"/>
        <v>0.6577452071613652</v>
      </c>
      <c r="J268" s="6">
        <f t="shared" si="163"/>
        <v>0.59881506823328556</v>
      </c>
      <c r="K268" s="6">
        <f t="shared" si="163"/>
        <v>0.57532187576705285</v>
      </c>
      <c r="L268" s="6">
        <f t="shared" si="163"/>
        <v>0.51525289314036993</v>
      </c>
      <c r="M268" s="6">
        <f t="shared" si="163"/>
        <v>0.52724922107140038</v>
      </c>
      <c r="N268" s="180">
        <f t="shared" si="163"/>
        <v>0.51100291449670276</v>
      </c>
    </row>
    <row r="269" spans="2:14" ht="13">
      <c r="B269" s="170" t="s">
        <v>41</v>
      </c>
      <c r="C269" s="6">
        <f>C239*C254*SIN(C258)+C258*C238*C253</f>
        <v>1.1169951152829716</v>
      </c>
      <c r="D269" s="6">
        <f t="shared" ref="D269:N269" si="164">D239*D254*SIN(D258)+D258*D238*D253</f>
        <v>1.0224871595686147</v>
      </c>
      <c r="E269" s="6">
        <f t="shared" si="164"/>
        <v>0.88015739213312139</v>
      </c>
      <c r="F269" s="6">
        <f t="shared" si="164"/>
        <v>0.69222740934784766</v>
      </c>
      <c r="G269" s="6">
        <f t="shared" si="164"/>
        <v>0.53784000745338212</v>
      </c>
      <c r="H269" s="6">
        <f t="shared" si="164"/>
        <v>0.4619627049485312</v>
      </c>
      <c r="I269" s="6">
        <f t="shared" si="164"/>
        <v>0.49214782785352545</v>
      </c>
      <c r="J269" s="6">
        <f t="shared" si="164"/>
        <v>0.6210464443360949</v>
      </c>
      <c r="K269" s="6">
        <f t="shared" si="164"/>
        <v>0.8052143214044124</v>
      </c>
      <c r="L269" s="6">
        <f t="shared" si="164"/>
        <v>0.87724776486471778</v>
      </c>
      <c r="M269" s="6">
        <f t="shared" si="164"/>
        <v>1.0931141283331729</v>
      </c>
      <c r="N269" s="180">
        <f t="shared" si="164"/>
        <v>1.1393708135012601</v>
      </c>
    </row>
    <row r="270" spans="2:14" ht="13">
      <c r="B270" s="170" t="s">
        <v>41</v>
      </c>
      <c r="C270" s="6">
        <f t="shared" ref="C270:N270" si="165">(C243*C254*SIN(IF(C261&gt;C257,C258,C262))+IF(C261&gt;C257,C258,C262)*C242*C253)/C269</f>
        <v>0.98737625308297272</v>
      </c>
      <c r="D270" s="6">
        <f t="shared" si="165"/>
        <v>0.93228873673087642</v>
      </c>
      <c r="E270" s="6">
        <f t="shared" si="165"/>
        <v>0.85230597620654613</v>
      </c>
      <c r="F270" s="6">
        <f t="shared" si="165"/>
        <v>0.73760581895212607</v>
      </c>
      <c r="G270" s="6">
        <f t="shared" si="165"/>
        <v>0.62268433851996863</v>
      </c>
      <c r="H270" s="6">
        <f t="shared" si="165"/>
        <v>0.55282826592877277</v>
      </c>
      <c r="I270" s="6">
        <f t="shared" si="165"/>
        <v>0.5820441987494045</v>
      </c>
      <c r="J270" s="6">
        <f t="shared" si="165"/>
        <v>0.68808017225251483</v>
      </c>
      <c r="K270" s="6">
        <f t="shared" si="165"/>
        <v>0.80846512521166369</v>
      </c>
      <c r="L270" s="6">
        <f t="shared" si="165"/>
        <v>0.85064106498396019</v>
      </c>
      <c r="M270" s="6">
        <f t="shared" si="165"/>
        <v>0.97301573530648411</v>
      </c>
      <c r="N270" s="180">
        <f t="shared" si="165"/>
        <v>1.0012399113444106</v>
      </c>
    </row>
    <row r="271" spans="2:14" ht="13">
      <c r="B271" s="170" t="s">
        <v>51</v>
      </c>
      <c r="C271" s="6">
        <f t="shared" ref="C271:N271" si="166">((1-C268)*C270+C268*(1+C235)/2+0.2*(1-C235)/2)</f>
        <v>0.98984323278438924</v>
      </c>
      <c r="D271" s="6">
        <f t="shared" si="166"/>
        <v>0.96397920651380031</v>
      </c>
      <c r="E271" s="6">
        <f t="shared" si="166"/>
        <v>0.92955509409169135</v>
      </c>
      <c r="F271" s="6">
        <f t="shared" si="166"/>
        <v>0.89551806833596148</v>
      </c>
      <c r="G271" s="6">
        <f t="shared" si="166"/>
        <v>0.87251688237509784</v>
      </c>
      <c r="H271" s="6">
        <f t="shared" si="166"/>
        <v>0.86500804754659655</v>
      </c>
      <c r="I271" s="6">
        <f t="shared" si="166"/>
        <v>0.85108663382506444</v>
      </c>
      <c r="J271" s="6">
        <f t="shared" si="166"/>
        <v>0.86975166300769435</v>
      </c>
      <c r="K271" s="6">
        <f t="shared" si="166"/>
        <v>0.91384959096940033</v>
      </c>
      <c r="L271" s="6">
        <f t="shared" si="166"/>
        <v>0.92355873275361178</v>
      </c>
      <c r="M271" s="6">
        <f t="shared" si="166"/>
        <v>0.98304947967975387</v>
      </c>
      <c r="N271" s="180">
        <f t="shared" si="166"/>
        <v>0.99662082075862257</v>
      </c>
    </row>
    <row r="272" spans="2:14">
      <c r="B272" s="169"/>
      <c r="N272" s="180"/>
    </row>
    <row r="273" spans="2:15" ht="13">
      <c r="B273" s="27" t="s">
        <v>54</v>
      </c>
      <c r="C273" s="6">
        <f>C253*C238*C235</f>
        <v>0.19250670267707085</v>
      </c>
      <c r="D273" s="6">
        <f t="shared" ref="D273:N273" si="167">D253*D238*D235</f>
        <v>0.12198504305164054</v>
      </c>
      <c r="E273" s="6">
        <f t="shared" si="167"/>
        <v>2.6098240506715324E-2</v>
      </c>
      <c r="F273" s="6">
        <f t="shared" si="167"/>
        <v>-8.6809905682813174E-2</v>
      </c>
      <c r="G273" s="6">
        <f t="shared" si="167"/>
        <v>-0.17094908138576792</v>
      </c>
      <c r="H273" s="6">
        <f t="shared" si="167"/>
        <v>-0.21003065113432215</v>
      </c>
      <c r="I273" s="6">
        <f t="shared" si="167"/>
        <v>-0.19464424731340391</v>
      </c>
      <c r="J273" s="6">
        <f t="shared" si="167"/>
        <v>-0.12643708704115578</v>
      </c>
      <c r="K273" s="6">
        <f t="shared" si="167"/>
        <v>-2.0527932563616236E-2</v>
      </c>
      <c r="L273" s="6">
        <f t="shared" si="167"/>
        <v>2.424350984648976E-2</v>
      </c>
      <c r="M273" s="6">
        <f t="shared" si="167"/>
        <v>0.17406643263916982</v>
      </c>
      <c r="N273" s="180">
        <f t="shared" si="167"/>
        <v>0.21020764048931065</v>
      </c>
    </row>
    <row r="274" spans="2:15" ht="13">
      <c r="B274" s="27" t="s">
        <v>54</v>
      </c>
      <c r="C274" s="6">
        <f t="shared" ref="C274:N274" si="168">C273-C253*C239*C234</f>
        <v>0.26094395948180438</v>
      </c>
      <c r="D274" s="6">
        <f t="shared" si="168"/>
        <v>0.16535143809953595</v>
      </c>
      <c r="E274" s="6">
        <f t="shared" si="168"/>
        <v>3.537631738856778E-2</v>
      </c>
      <c r="F274" s="6">
        <f t="shared" si="168"/>
        <v>-0.1176713340164304</v>
      </c>
      <c r="G274" s="6">
        <f t="shared" si="168"/>
        <v>-0.23172247795137524</v>
      </c>
      <c r="H274" s="6">
        <f t="shared" si="168"/>
        <v>-0.28469777393397444</v>
      </c>
      <c r="I274" s="6">
        <f t="shared" si="168"/>
        <v>-0.26384141371699282</v>
      </c>
      <c r="J274" s="6">
        <f t="shared" si="168"/>
        <v>-0.17138620972180033</v>
      </c>
      <c r="K274" s="6">
        <f t="shared" si="168"/>
        <v>-2.7825732447930539E-2</v>
      </c>
      <c r="L274" s="6">
        <f t="shared" si="168"/>
        <v>3.2862219149279795E-2</v>
      </c>
      <c r="M274" s="6">
        <f t="shared" si="168"/>
        <v>0.23594806577686944</v>
      </c>
      <c r="N274" s="180">
        <f t="shared" si="168"/>
        <v>0.28493768403806208</v>
      </c>
    </row>
    <row r="275" spans="2:15" ht="13">
      <c r="B275" s="27" t="s">
        <v>54</v>
      </c>
      <c r="C275" s="6">
        <f t="shared" ref="C275:N275" si="169">C274+C254*C239*C235*C245</f>
        <v>0.86509306642577466</v>
      </c>
      <c r="D275" s="6">
        <f t="shared" si="169"/>
        <v>0.79630018702725702</v>
      </c>
      <c r="E275" s="6">
        <f t="shared" si="169"/>
        <v>0.6829007644866103</v>
      </c>
      <c r="F275" s="6">
        <f t="shared" si="169"/>
        <v>0.5219046424676822</v>
      </c>
      <c r="G275" s="6">
        <f t="shared" si="169"/>
        <v>0.38202813760948617</v>
      </c>
      <c r="H275" s="6">
        <f t="shared" si="169"/>
        <v>0.31067468505277895</v>
      </c>
      <c r="I275" s="6">
        <f t="shared" si="169"/>
        <v>0.3392846644923026</v>
      </c>
      <c r="J275" s="6">
        <f t="shared" si="169"/>
        <v>0.45825313083401187</v>
      </c>
      <c r="K275" s="6">
        <f t="shared" si="169"/>
        <v>0.6199979556220695</v>
      </c>
      <c r="L275" s="6">
        <f t="shared" si="169"/>
        <v>0.68049425961525634</v>
      </c>
      <c r="M275" s="6">
        <f t="shared" si="169"/>
        <v>0.84838960668176411</v>
      </c>
      <c r="N275" s="180">
        <f t="shared" si="169"/>
        <v>0.88021691282361059</v>
      </c>
    </row>
    <row r="276" spans="2:15" ht="13">
      <c r="B276" s="27" t="s">
        <v>54</v>
      </c>
      <c r="C276" s="6">
        <f t="shared" ref="C276:N276" si="170">C275+C254*C238*C234*C245</f>
        <v>0.77451446715382344</v>
      </c>
      <c r="D276" s="6">
        <f t="shared" si="170"/>
        <v>0.70170358292176882</v>
      </c>
      <c r="E276" s="6">
        <f t="shared" si="170"/>
        <v>0.58581900645973817</v>
      </c>
      <c r="F276" s="6">
        <f t="shared" si="170"/>
        <v>0.42601457921663444</v>
      </c>
      <c r="G276" s="6">
        <f t="shared" si="170"/>
        <v>0.29001000761338175</v>
      </c>
      <c r="H276" s="6">
        <f t="shared" si="170"/>
        <v>0.22141194716195109</v>
      </c>
      <c r="I276" s="6">
        <f t="shared" si="170"/>
        <v>0.2488594454186116</v>
      </c>
      <c r="J276" s="6">
        <f t="shared" si="170"/>
        <v>0.36385284312598126</v>
      </c>
      <c r="K276" s="6">
        <f t="shared" si="170"/>
        <v>0.52287133312751366</v>
      </c>
      <c r="L276" s="6">
        <f t="shared" si="170"/>
        <v>0.58339637037765102</v>
      </c>
      <c r="M276" s="6">
        <f t="shared" si="170"/>
        <v>0.7565677430499016</v>
      </c>
      <c r="N276" s="180">
        <f t="shared" si="170"/>
        <v>0.79096815270902687</v>
      </c>
    </row>
    <row r="277" spans="2:15" ht="13">
      <c r="B277" s="27" t="s">
        <v>54</v>
      </c>
      <c r="C277" s="6">
        <f t="shared" ref="C277:N277" si="171">ATAN(SQRT(1-C276^2)/C276)/C231</f>
        <v>39.238966790344691</v>
      </c>
      <c r="D277" s="6">
        <f t="shared" si="171"/>
        <v>45.436157005063272</v>
      </c>
      <c r="E277" s="6">
        <f t="shared" si="171"/>
        <v>54.139129843857695</v>
      </c>
      <c r="F277" s="6">
        <f t="shared" si="171"/>
        <v>64.785100120057294</v>
      </c>
      <c r="G277" s="6">
        <f t="shared" si="171"/>
        <v>73.141444835440311</v>
      </c>
      <c r="H277" s="6">
        <f t="shared" si="171"/>
        <v>77.208023017651826</v>
      </c>
      <c r="I277" s="6">
        <f t="shared" si="171"/>
        <v>75.589969688611248</v>
      </c>
      <c r="J277" s="6">
        <f t="shared" si="171"/>
        <v>68.662998247286865</v>
      </c>
      <c r="K277" s="6">
        <f t="shared" si="171"/>
        <v>58.474947322326628</v>
      </c>
      <c r="L277" s="6">
        <f t="shared" si="171"/>
        <v>54.310218462519288</v>
      </c>
      <c r="M277" s="6">
        <f t="shared" si="171"/>
        <v>40.837455113462738</v>
      </c>
      <c r="N277" s="180">
        <f t="shared" si="171"/>
        <v>37.723920872672956</v>
      </c>
    </row>
    <row r="279" spans="2:15">
      <c r="C279" s="14">
        <f>C265*C271*1.05</f>
        <v>16358.962421210552</v>
      </c>
      <c r="D279" s="14">
        <f t="shared" ref="D279:N279" si="172">D265*D271*1.05</f>
        <v>13580.961284258874</v>
      </c>
      <c r="E279" s="14">
        <f t="shared" si="172"/>
        <v>10577.521750945929</v>
      </c>
      <c r="F279" s="14">
        <f t="shared" si="172"/>
        <v>6793.4734988782075</v>
      </c>
      <c r="G279" s="14">
        <f t="shared" si="172"/>
        <v>4491.4538466269687</v>
      </c>
      <c r="H279" s="14">
        <f t="shared" si="172"/>
        <v>3515.3689175080613</v>
      </c>
      <c r="I279" s="14">
        <f t="shared" si="172"/>
        <v>4150.5512099791586</v>
      </c>
      <c r="J279" s="14">
        <f t="shared" si="172"/>
        <v>6126.7211898403984</v>
      </c>
      <c r="K279" s="14">
        <f t="shared" si="172"/>
        <v>8913.2630564061383</v>
      </c>
      <c r="L279" s="14">
        <f t="shared" si="172"/>
        <v>11259.951876136583</v>
      </c>
      <c r="M279" s="14">
        <f t="shared" si="172"/>
        <v>14914.987925815893</v>
      </c>
      <c r="N279" s="14">
        <f t="shared" si="172"/>
        <v>16470.974407861253</v>
      </c>
      <c r="O279" s="14">
        <f>SUM(C279:N279)/86.01</f>
        <v>1362.0996556850134</v>
      </c>
    </row>
    <row r="280" spans="2:1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2" spans="2:15" ht="13" thickBot="1">
      <c r="B282" s="28"/>
      <c r="C282" s="206" t="s">
        <v>71</v>
      </c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</row>
    <row r="283" spans="2:15">
      <c r="B283" s="28"/>
      <c r="C283" s="29" t="s">
        <v>2</v>
      </c>
      <c r="D283" s="30" t="s">
        <v>3</v>
      </c>
      <c r="E283" s="30" t="s">
        <v>4</v>
      </c>
      <c r="F283" s="30" t="s">
        <v>5</v>
      </c>
      <c r="G283" s="30" t="s">
        <v>6</v>
      </c>
      <c r="H283" s="30" t="s">
        <v>7</v>
      </c>
      <c r="I283" s="30" t="s">
        <v>8</v>
      </c>
      <c r="J283" s="30" t="s">
        <v>9</v>
      </c>
      <c r="K283" s="30" t="s">
        <v>16</v>
      </c>
      <c r="L283" s="30" t="s">
        <v>17</v>
      </c>
      <c r="M283" s="30" t="s">
        <v>18</v>
      </c>
      <c r="N283" s="31" t="s">
        <v>19</v>
      </c>
      <c r="O283" s="6" t="s">
        <v>72</v>
      </c>
    </row>
    <row r="284" spans="2:15">
      <c r="B284" s="28" t="s">
        <v>168</v>
      </c>
      <c r="C284" s="28">
        <v>21</v>
      </c>
      <c r="D284" s="28">
        <v>21</v>
      </c>
      <c r="E284" s="28">
        <v>18.5</v>
      </c>
      <c r="F284" s="28">
        <v>15</v>
      </c>
      <c r="G284" s="28">
        <v>11.5</v>
      </c>
      <c r="H284" s="28">
        <v>10</v>
      </c>
      <c r="I284" s="28">
        <v>8.5</v>
      </c>
      <c r="J284" s="28">
        <v>10</v>
      </c>
      <c r="K284" s="28">
        <v>11.5</v>
      </c>
      <c r="L284" s="28">
        <v>14.5</v>
      </c>
      <c r="M284" s="28">
        <v>17.5</v>
      </c>
      <c r="N284" s="28">
        <v>19.5</v>
      </c>
      <c r="O284" s="6">
        <f>MAX(C284:N284)</f>
        <v>21</v>
      </c>
    </row>
    <row r="285" spans="2:15">
      <c r="B285" s="28" t="s">
        <v>169</v>
      </c>
      <c r="C285" s="28">
        <v>23</v>
      </c>
      <c r="D285" s="28">
        <v>23</v>
      </c>
      <c r="E285" s="28">
        <v>22.5</v>
      </c>
      <c r="F285" s="28">
        <v>20.5</v>
      </c>
      <c r="G285" s="28">
        <v>19</v>
      </c>
      <c r="H285" s="28">
        <v>17.5</v>
      </c>
      <c r="I285" s="28">
        <v>16.5</v>
      </c>
      <c r="J285" s="28">
        <v>16.5</v>
      </c>
      <c r="K285" s="28">
        <v>17</v>
      </c>
      <c r="L285" s="28">
        <v>18.5</v>
      </c>
      <c r="M285" s="28">
        <v>19.5</v>
      </c>
      <c r="N285" s="28">
        <v>21</v>
      </c>
      <c r="O285" s="6">
        <f>MAX(C285:N285)</f>
        <v>23</v>
      </c>
    </row>
    <row r="286" spans="2:15">
      <c r="B286" s="28" t="s">
        <v>170</v>
      </c>
      <c r="C286" s="28">
        <v>17</v>
      </c>
      <c r="D286" s="28">
        <v>16.5</v>
      </c>
      <c r="E286" s="28">
        <v>15.5</v>
      </c>
      <c r="F286" s="28">
        <v>13</v>
      </c>
      <c r="G286" s="28">
        <v>12</v>
      </c>
      <c r="H286" s="28">
        <v>10.5</v>
      </c>
      <c r="I286" s="28">
        <v>9.5</v>
      </c>
      <c r="J286" s="28">
        <v>10</v>
      </c>
      <c r="K286" s="28">
        <v>10.5</v>
      </c>
      <c r="L286" s="28">
        <v>12.5</v>
      </c>
      <c r="M286" s="28">
        <v>14</v>
      </c>
      <c r="N286" s="28">
        <v>15.5</v>
      </c>
      <c r="O286" s="6">
        <f>MAX(C286:N286)</f>
        <v>17</v>
      </c>
    </row>
    <row r="287" spans="2:15">
      <c r="B287" s="28" t="s">
        <v>171</v>
      </c>
      <c r="C287" s="28">
        <v>11</v>
      </c>
      <c r="D287" s="28">
        <v>11</v>
      </c>
      <c r="E287" s="28">
        <v>8.5</v>
      </c>
      <c r="F287" s="28">
        <v>7</v>
      </c>
      <c r="G287" s="28">
        <v>4.5</v>
      </c>
      <c r="H287" s="28">
        <v>2</v>
      </c>
      <c r="I287" s="28">
        <v>1.5</v>
      </c>
      <c r="J287" s="28">
        <v>3</v>
      </c>
      <c r="K287" s="28">
        <v>4.5</v>
      </c>
      <c r="L287" s="28">
        <v>4.5</v>
      </c>
      <c r="M287" s="28">
        <v>7</v>
      </c>
      <c r="N287" s="28">
        <v>9</v>
      </c>
      <c r="O287" s="6">
        <f>MAX(C287:N287)</f>
        <v>11</v>
      </c>
    </row>
    <row r="288" spans="2: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</row>
    <row r="289" spans="2:14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</row>
    <row r="290" spans="2:14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</row>
    <row r="291" spans="2:14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</row>
    <row r="292" spans="2:14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</row>
    <row r="293" spans="2:14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</row>
    <row r="294" spans="2:14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</row>
    <row r="295" spans="2:14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</row>
    <row r="296" spans="2:14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</row>
    <row r="297" spans="2:14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</row>
    <row r="298" spans="2:14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</row>
    <row r="299" spans="2:14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</row>
    <row r="300" spans="2:14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</row>
    <row r="301" spans="2:14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</row>
    <row r="302" spans="2:14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</row>
    <row r="303" spans="2:14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</row>
    <row r="304" spans="2:14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</row>
    <row r="305" spans="2:14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</row>
    <row r="306" spans="2:14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</row>
    <row r="307" spans="2:14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</row>
    <row r="308" spans="2:14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</row>
    <row r="309" spans="2:14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</row>
    <row r="310" spans="2:14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</row>
    <row r="311" spans="2:14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</row>
    <row r="312" spans="2:14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</row>
    <row r="313" spans="2:14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</row>
    <row r="314" spans="2:14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</row>
    <row r="315" spans="2:14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</row>
    <row r="316" spans="2:14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</row>
    <row r="317" spans="2:14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</row>
    <row r="318" spans="2:14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</row>
    <row r="319" spans="2:14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</row>
    <row r="320" spans="2:14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</row>
    <row r="321" spans="2:14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</row>
    <row r="322" spans="2:14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</row>
    <row r="323" spans="2:14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</row>
    <row r="324" spans="2:14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</row>
    <row r="325" spans="2:14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2:14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2:14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</row>
    <row r="328" spans="2:14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</row>
    <row r="329" spans="2:14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2:14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2:14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2:14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2:14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2:14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2:14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2:14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2:14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2:14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2:14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2:14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2:14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2:14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2:14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2:14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2:14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2:14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2:14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2:14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2:14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2:14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2:14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2:14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</sheetData>
  <sortState ref="B3:B71">
    <sortCondition ref="B3"/>
  </sortState>
  <mergeCells count="2">
    <mergeCell ref="C1:N1"/>
    <mergeCell ref="C282:N282"/>
  </mergeCells>
  <phoneticPr fontId="1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AX77"/>
  <sheetViews>
    <sheetView showGridLines="0" defaultGridColor="0" colorId="51" zoomScale="70" zoomScaleNormal="70" workbookViewId="0">
      <selection activeCell="E16" sqref="E16"/>
    </sheetView>
  </sheetViews>
  <sheetFormatPr baseColWidth="10" defaultRowHeight="12.5"/>
  <cols>
    <col min="1" max="1" width="6.7265625" customWidth="1"/>
    <col min="2" max="2" width="8.7265625" customWidth="1"/>
    <col min="3" max="3" width="12.453125" customWidth="1"/>
    <col min="4" max="4" width="13.1796875" customWidth="1"/>
    <col min="5" max="5" width="15.26953125" customWidth="1"/>
    <col min="6" max="6" width="15.453125" customWidth="1"/>
    <col min="7" max="7" width="12.7265625" customWidth="1"/>
    <col min="9" max="9" width="12.54296875" hidden="1" customWidth="1"/>
    <col min="10" max="10" width="0.1796875" hidden="1" customWidth="1"/>
    <col min="11" max="12" width="12.54296875" hidden="1" customWidth="1"/>
    <col min="13" max="13" width="12.54296875" customWidth="1"/>
    <col min="14" max="14" width="16.81640625" customWidth="1"/>
    <col min="15" max="15" width="13" customWidth="1"/>
    <col min="16" max="17" width="12.26953125" customWidth="1"/>
    <col min="18" max="18" width="17.54296875" customWidth="1"/>
    <col min="19" max="19" width="14.26953125" customWidth="1"/>
    <col min="20" max="20" width="9.81640625" customWidth="1"/>
    <col min="21" max="21" width="6.81640625" customWidth="1"/>
    <col min="22" max="22" width="7.26953125" customWidth="1"/>
    <col min="23" max="23" width="13.453125" style="173" customWidth="1"/>
    <col min="24" max="24" width="14.54296875" style="173" customWidth="1"/>
    <col min="25" max="25" width="13.1796875" style="173" customWidth="1"/>
    <col min="26" max="26" width="15.90625" style="173" customWidth="1"/>
    <col min="27" max="27" width="13" style="173" customWidth="1"/>
    <col min="28" max="28" width="16.26953125" style="173" customWidth="1"/>
    <col min="29" max="29" width="13.90625" style="173" customWidth="1"/>
    <col min="30" max="30" width="13" style="173" customWidth="1"/>
    <col min="31" max="31" width="12.08984375" style="173" customWidth="1"/>
    <col min="32" max="32" width="15.1796875" style="173" customWidth="1"/>
    <col min="33" max="33" width="14.1796875" style="173" customWidth="1"/>
    <col min="34" max="34" width="13.54296875" style="173" customWidth="1"/>
    <col min="35" max="35" width="15.54296875" style="173" customWidth="1"/>
    <col min="36" max="36" width="10.1796875" style="173" customWidth="1"/>
    <col min="37" max="37" width="12.453125" style="173" customWidth="1"/>
    <col min="38" max="38" width="13.7265625" style="173" customWidth="1"/>
    <col min="39" max="39" width="14.26953125" style="173" customWidth="1"/>
    <col min="40" max="40" width="12" style="173" customWidth="1"/>
    <col min="41" max="41" width="23.7265625" style="173" customWidth="1"/>
    <col min="42" max="42" width="15.54296875" style="173" customWidth="1"/>
    <col min="43" max="43" width="15" style="173" customWidth="1"/>
    <col min="44" max="44" width="14.26953125" style="262" customWidth="1"/>
    <col min="45" max="45" width="10.90625" style="262"/>
  </cols>
  <sheetData>
    <row r="1" spans="1:50" ht="13" thickBo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T1" s="115"/>
      <c r="AU1" s="115"/>
      <c r="AV1" s="115"/>
      <c r="AW1" s="115"/>
      <c r="AX1" s="115"/>
    </row>
    <row r="2" spans="1:50" ht="13" thickTop="1">
      <c r="A2" s="422"/>
      <c r="B2" s="497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9"/>
      <c r="V2" s="422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T2" s="115"/>
      <c r="AU2" s="115"/>
      <c r="AV2" s="115"/>
      <c r="AW2" s="115"/>
      <c r="AX2" s="115"/>
    </row>
    <row r="3" spans="1:50">
      <c r="A3" s="422"/>
      <c r="B3" s="50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501"/>
      <c r="V3" s="422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T3" s="115"/>
      <c r="AU3" s="115"/>
      <c r="AV3" s="115"/>
      <c r="AW3" s="115"/>
      <c r="AX3" s="115"/>
    </row>
    <row r="4" spans="1:50" ht="15.5">
      <c r="A4" s="422"/>
      <c r="B4" s="500"/>
      <c r="C4" s="321"/>
      <c r="D4" s="321" t="s">
        <v>172</v>
      </c>
      <c r="E4" s="433"/>
      <c r="F4" s="502" t="str">
        <f>Consumption!D3</f>
        <v>HOUSING</v>
      </c>
      <c r="G4" s="502"/>
      <c r="H4" s="502"/>
      <c r="I4" s="321"/>
      <c r="J4" s="321"/>
      <c r="K4" s="321"/>
      <c r="L4" s="321"/>
      <c r="M4" s="321"/>
      <c r="N4" s="321"/>
      <c r="O4" s="321" t="s">
        <v>174</v>
      </c>
      <c r="P4" s="503" t="str">
        <f>Consumption!H3</f>
        <v>POLAND</v>
      </c>
      <c r="Q4" s="503"/>
      <c r="R4" s="503"/>
      <c r="S4" s="503"/>
      <c r="T4" s="504"/>
      <c r="U4" s="501"/>
      <c r="V4" s="422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T4" s="115"/>
      <c r="AU4" s="115"/>
      <c r="AV4" s="115"/>
      <c r="AW4" s="115"/>
      <c r="AX4" s="115"/>
    </row>
    <row r="5" spans="1:50">
      <c r="A5" s="422"/>
      <c r="B5" s="500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501"/>
      <c r="V5" s="422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T5" s="115"/>
      <c r="AU5" s="115"/>
      <c r="AV5" s="115"/>
      <c r="AW5" s="115"/>
      <c r="AX5" s="115"/>
    </row>
    <row r="6" spans="1:50" ht="15.5">
      <c r="A6" s="422"/>
      <c r="B6" s="500"/>
      <c r="C6" s="321"/>
      <c r="D6" s="321" t="s">
        <v>173</v>
      </c>
      <c r="E6" s="433"/>
      <c r="F6" s="505" t="str">
        <f>Consumption!D5</f>
        <v>VIPSKILLS</v>
      </c>
      <c r="G6" s="505"/>
      <c r="H6" s="505"/>
      <c r="I6" s="321"/>
      <c r="J6" s="321"/>
      <c r="K6" s="321"/>
      <c r="L6" s="321"/>
      <c r="M6" s="321"/>
      <c r="N6" s="321"/>
      <c r="O6" s="321" t="s">
        <v>175</v>
      </c>
      <c r="P6" s="186">
        <f>Consumption!H5</f>
        <v>42920</v>
      </c>
      <c r="Q6" s="186"/>
      <c r="R6" s="186"/>
      <c r="S6" s="186"/>
      <c r="T6" s="506"/>
      <c r="U6" s="501"/>
      <c r="V6" s="422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T6" s="115"/>
      <c r="AU6" s="115"/>
      <c r="AV6" s="115"/>
      <c r="AW6" s="115"/>
      <c r="AX6" s="115"/>
    </row>
    <row r="7" spans="1:50" ht="20">
      <c r="A7" s="422"/>
      <c r="B7" s="500"/>
      <c r="C7" s="434"/>
      <c r="D7" s="330"/>
      <c r="E7" s="330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501"/>
      <c r="V7" s="422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T7" s="115"/>
      <c r="AU7" s="115"/>
      <c r="AV7" s="115"/>
      <c r="AW7" s="115"/>
      <c r="AX7" s="115"/>
    </row>
    <row r="8" spans="1:50" ht="13">
      <c r="A8" s="422"/>
      <c r="B8" s="500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507"/>
      <c r="O8" s="507"/>
      <c r="P8" s="324"/>
      <c r="Q8" s="324"/>
      <c r="R8" s="324"/>
      <c r="S8" s="324"/>
      <c r="T8" s="324"/>
      <c r="U8" s="501"/>
      <c r="V8" s="422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T8" s="115"/>
      <c r="AU8" s="115"/>
      <c r="AV8" s="115"/>
      <c r="AW8" s="115"/>
      <c r="AX8" s="115"/>
    </row>
    <row r="9" spans="1:50" ht="18" customHeight="1">
      <c r="A9" s="422"/>
      <c r="B9" s="500"/>
      <c r="C9" s="434" t="s">
        <v>196</v>
      </c>
      <c r="D9" s="508"/>
      <c r="E9" s="508"/>
      <c r="F9" s="508"/>
      <c r="G9" s="509"/>
      <c r="H9" s="324"/>
      <c r="I9" s="324"/>
      <c r="J9" s="324"/>
      <c r="K9" s="324"/>
      <c r="L9" s="324"/>
      <c r="M9" s="324"/>
      <c r="N9" s="507"/>
      <c r="O9" s="510" t="s">
        <v>174</v>
      </c>
      <c r="P9" s="511" t="s">
        <v>14</v>
      </c>
      <c r="Q9" s="512"/>
      <c r="R9" s="510" t="s">
        <v>0</v>
      </c>
      <c r="S9" s="513">
        <f>VLOOKUP(P12,Radiation!A3:O71,15,FALSE)</f>
        <v>-33</v>
      </c>
      <c r="T9" s="324"/>
      <c r="U9" s="501"/>
      <c r="V9" s="422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T9" s="115"/>
      <c r="AU9" s="115"/>
      <c r="AV9" s="115"/>
      <c r="AW9" s="115"/>
      <c r="AX9" s="115"/>
    </row>
    <row r="10" spans="1:50" ht="14.25" customHeight="1">
      <c r="A10" s="422"/>
      <c r="B10" s="500"/>
      <c r="C10" s="508"/>
      <c r="D10" s="508"/>
      <c r="E10" s="508"/>
      <c r="F10" s="508"/>
      <c r="G10" s="320"/>
      <c r="H10" s="324"/>
      <c r="I10" s="324"/>
      <c r="J10" s="324"/>
      <c r="K10" s="324"/>
      <c r="L10" s="324"/>
      <c r="M10" s="324"/>
      <c r="N10" s="507"/>
      <c r="O10" s="514"/>
      <c r="P10" s="512"/>
      <c r="Q10" s="512"/>
      <c r="R10" s="514"/>
      <c r="S10" s="515"/>
      <c r="T10" s="324"/>
      <c r="U10" s="501"/>
      <c r="V10" s="42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T10" s="115"/>
      <c r="AU10" s="115"/>
      <c r="AV10" s="115"/>
      <c r="AW10" s="115"/>
      <c r="AX10" s="115"/>
    </row>
    <row r="11" spans="1:50" ht="15" customHeight="1">
      <c r="A11" s="422"/>
      <c r="B11" s="500"/>
      <c r="C11" s="508"/>
      <c r="D11" s="508"/>
      <c r="E11" s="508"/>
      <c r="F11" s="508"/>
      <c r="G11" s="320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501"/>
      <c r="V11" s="422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T11" s="115"/>
      <c r="AU11" s="115"/>
      <c r="AV11" s="115"/>
      <c r="AW11" s="115"/>
      <c r="AX11" s="115"/>
    </row>
    <row r="12" spans="1:50" ht="15" customHeight="1">
      <c r="A12" s="422"/>
      <c r="B12" s="500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13">
        <v>1</v>
      </c>
      <c r="Q12" s="324"/>
      <c r="R12" s="324"/>
      <c r="S12" s="324"/>
      <c r="T12" s="324"/>
      <c r="U12" s="501"/>
      <c r="V12" s="422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T12" s="115"/>
      <c r="AU12" s="115"/>
      <c r="AV12" s="115"/>
      <c r="AW12" s="115"/>
      <c r="AX12" s="115"/>
    </row>
    <row r="13" spans="1:50">
      <c r="A13" s="422"/>
      <c r="B13" s="500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501"/>
      <c r="V13" s="422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T13" s="115"/>
      <c r="AU13" s="115"/>
      <c r="AV13" s="115"/>
      <c r="AW13" s="115"/>
      <c r="AX13" s="115"/>
    </row>
    <row r="14" spans="1:50" ht="30.5" customHeight="1" thickBot="1">
      <c r="A14" s="422"/>
      <c r="B14" s="500"/>
      <c r="C14" s="324"/>
      <c r="D14" s="516"/>
      <c r="E14" s="324"/>
      <c r="F14" s="324"/>
      <c r="G14" s="514" t="s">
        <v>197</v>
      </c>
      <c r="H14" s="513">
        <v>19</v>
      </c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501"/>
      <c r="V14" s="422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T14" s="115"/>
      <c r="AU14" s="115"/>
      <c r="AV14" s="115"/>
      <c r="AW14" s="115"/>
      <c r="AX14" s="115"/>
    </row>
    <row r="15" spans="1:50" ht="48.5" customHeight="1" thickBot="1">
      <c r="A15" s="422"/>
      <c r="B15" s="500"/>
      <c r="C15" s="324"/>
      <c r="D15" s="517" t="s">
        <v>198</v>
      </c>
      <c r="E15" s="518" t="s">
        <v>272</v>
      </c>
      <c r="F15" s="518" t="str">
        <f>IF($O$12=2,"","Total daily consumption Ah/day")</f>
        <v>Total daily consumption Ah/day</v>
      </c>
      <c r="G15" s="518" t="s">
        <v>212</v>
      </c>
      <c r="H15" s="519" t="s">
        <v>213</v>
      </c>
      <c r="I15" s="324"/>
      <c r="J15" s="324"/>
      <c r="K15" s="324"/>
      <c r="L15" s="324"/>
      <c r="M15" s="324"/>
      <c r="N15" s="520" t="s">
        <v>267</v>
      </c>
      <c r="O15" s="520"/>
      <c r="P15" s="521">
        <f>3.7+(-0.69*S9)</f>
        <v>26.47</v>
      </c>
      <c r="Q15" s="522"/>
      <c r="R15" s="520" t="s">
        <v>271</v>
      </c>
      <c r="S15" s="520"/>
      <c r="T15" s="523">
        <f>-(S9+20)</f>
        <v>13</v>
      </c>
      <c r="U15" s="524"/>
      <c r="V15" s="422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T15" s="115"/>
      <c r="AU15" s="115"/>
      <c r="AV15" s="115"/>
      <c r="AW15" s="115"/>
      <c r="AX15" s="115"/>
    </row>
    <row r="16" spans="1:50" ht="47" customHeight="1">
      <c r="A16" s="422"/>
      <c r="B16" s="500"/>
      <c r="C16" s="324"/>
      <c r="D16" s="525" t="s">
        <v>199</v>
      </c>
      <c r="E16" s="553"/>
      <c r="F16" s="94">
        <f>IF($O$12=2,"",Consumption!$K$34)</f>
        <v>206.30193293995657</v>
      </c>
      <c r="G16" s="95">
        <f>Radiation!C123/31/86.01</f>
        <v>5.4182414820366018</v>
      </c>
      <c r="H16" s="94">
        <f>IF($O$12=2,E16/G16,F16/G16)</f>
        <v>38.075440827789031</v>
      </c>
      <c r="I16" s="526">
        <f>E16</f>
        <v>0</v>
      </c>
      <c r="J16" s="339">
        <f>G16</f>
        <v>5.4182414820366018</v>
      </c>
      <c r="K16" s="324" t="str">
        <f>D16</f>
        <v>January</v>
      </c>
      <c r="L16" s="324">
        <f>G16*31</f>
        <v>167.96548594313467</v>
      </c>
      <c r="M16" s="324"/>
      <c r="N16" s="527" t="s">
        <v>268</v>
      </c>
      <c r="O16" s="528" t="s">
        <v>269</v>
      </c>
      <c r="P16" s="528" t="s">
        <v>198</v>
      </c>
      <c r="Q16" s="529"/>
      <c r="R16" s="530" t="s">
        <v>275</v>
      </c>
      <c r="S16" s="530" t="s">
        <v>269</v>
      </c>
      <c r="T16" s="530" t="s">
        <v>198</v>
      </c>
      <c r="U16" s="524"/>
      <c r="V16" s="422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T16" s="115"/>
      <c r="AU16" s="115"/>
      <c r="AV16" s="115"/>
      <c r="AW16" s="115"/>
      <c r="AX16" s="115"/>
    </row>
    <row r="17" spans="1:50" ht="36.5" customHeight="1">
      <c r="A17" s="422"/>
      <c r="B17" s="500"/>
      <c r="C17" s="324"/>
      <c r="D17" s="525" t="s">
        <v>200</v>
      </c>
      <c r="E17" s="554"/>
      <c r="F17" s="94">
        <f>IF($O$12=2,"",Consumption!$K$34)</f>
        <v>206.30193293995657</v>
      </c>
      <c r="G17" s="95">
        <f>Radiation!D123/28/86.01</f>
        <v>5.2241470882657488</v>
      </c>
      <c r="H17" s="94">
        <f>IF($O$12=2,E17/G17,F17/G17)</f>
        <v>39.490069757672593</v>
      </c>
      <c r="I17" s="526">
        <f t="shared" ref="I17:I27" si="0">E17</f>
        <v>0</v>
      </c>
      <c r="J17" s="339">
        <f t="shared" ref="J17:J27" si="1">G17</f>
        <v>5.2241470882657488</v>
      </c>
      <c r="K17" s="324" t="str">
        <f t="shared" ref="K17:K27" si="2">D17</f>
        <v>February</v>
      </c>
      <c r="L17" s="324">
        <f>G17*28</f>
        <v>146.27611847144095</v>
      </c>
      <c r="M17" s="324"/>
      <c r="N17" s="249">
        <f>IF(O17=0,"",IF($O$12=2,VLOOKUP(O17,AA27:AC31,2,FALSE),VLOOKUP(O17,AA27:AC31,2,FALSE)))</f>
        <v>3.5283038457677769</v>
      </c>
      <c r="O17" s="250">
        <f>MAX(AA27:AA31)</f>
        <v>58.470568850643936</v>
      </c>
      <c r="P17" s="250" t="str">
        <f>IF(O17=0,"",VLOOKUP(O17,AA27:AC31,3,FALSE))</f>
        <v>March</v>
      </c>
      <c r="Q17" s="176"/>
      <c r="R17" s="251">
        <f>IF(S17=0,"",IF($O$12=2,VLOOKUP(S17,AO27:AQ31,2,FALSE),VLOOKUP(S17,AO27:AQ31,2,FALSE)))</f>
        <v>3.9671012563977661</v>
      </c>
      <c r="S17" s="252">
        <f>MAX(AO28:AO32)</f>
        <v>52.003193164593995</v>
      </c>
      <c r="T17" s="252" t="str">
        <f>IF(S17=0,"",VLOOKUP(S17,AO27:AQ31,3,FALSE))</f>
        <v>Marzo</v>
      </c>
      <c r="U17" s="524"/>
      <c r="V17" s="422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T17" s="115"/>
      <c r="AU17" s="115"/>
      <c r="AV17" s="115"/>
      <c r="AW17" s="115"/>
      <c r="AX17" s="115"/>
    </row>
    <row r="18" spans="1:50" ht="35" customHeight="1">
      <c r="A18" s="422"/>
      <c r="B18" s="500"/>
      <c r="C18" s="324"/>
      <c r="D18" s="525" t="s">
        <v>201</v>
      </c>
      <c r="E18" s="554"/>
      <c r="F18" s="94">
        <f>IF($O$12=2,"",Consumption!$K$34)</f>
        <v>206.30193293995657</v>
      </c>
      <c r="G18" s="95">
        <f>(Radiation!E123/31)/86.01</f>
        <v>3.7863889672700011</v>
      </c>
      <c r="H18" s="94">
        <f>IF($O$12=2,E18/G18,F18/G18)</f>
        <v>54.485139990438157</v>
      </c>
      <c r="I18" s="526">
        <f t="shared" si="0"/>
        <v>0</v>
      </c>
      <c r="J18" s="339">
        <f t="shared" si="1"/>
        <v>3.7863889672700011</v>
      </c>
      <c r="K18" s="324" t="str">
        <f t="shared" si="2"/>
        <v>March</v>
      </c>
      <c r="L18" s="324">
        <f>G18*31</f>
        <v>117.37805798537003</v>
      </c>
      <c r="M18" s="324"/>
      <c r="N18" s="324"/>
      <c r="O18" s="324"/>
      <c r="P18" s="324"/>
      <c r="Q18" s="324"/>
      <c r="R18" s="324"/>
      <c r="S18" s="324"/>
      <c r="T18" s="324"/>
      <c r="U18" s="501"/>
      <c r="V18" s="422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T18" s="115"/>
      <c r="AU18" s="115"/>
      <c r="AV18" s="115"/>
      <c r="AW18" s="115"/>
      <c r="AX18" s="115"/>
    </row>
    <row r="19" spans="1:50" ht="35" customHeight="1">
      <c r="A19" s="422"/>
      <c r="B19" s="500"/>
      <c r="C19" s="324"/>
      <c r="D19" s="525" t="s">
        <v>202</v>
      </c>
      <c r="E19" s="554">
        <v>35</v>
      </c>
      <c r="F19" s="94">
        <f>IF($O$12=2,"",Consumption!$K$34)</f>
        <v>206.30193293995657</v>
      </c>
      <c r="G19" s="95">
        <f>Radiation!F123/30/86.01</f>
        <v>2.4673818877722957</v>
      </c>
      <c r="H19" s="94">
        <f>IF($O$12=2,E19/G19,F19/G19)</f>
        <v>83.611675177780711</v>
      </c>
      <c r="I19" s="526">
        <f t="shared" si="0"/>
        <v>35</v>
      </c>
      <c r="J19" s="339">
        <f t="shared" si="1"/>
        <v>2.4673818877722957</v>
      </c>
      <c r="K19" s="324" t="str">
        <f t="shared" si="2"/>
        <v>April</v>
      </c>
      <c r="L19" s="324">
        <f>G19*30</f>
        <v>74.021456633168867</v>
      </c>
      <c r="M19" s="324"/>
      <c r="N19" s="531" t="s">
        <v>270</v>
      </c>
      <c r="O19" s="531"/>
      <c r="P19" s="532">
        <f>-(S9+15)</f>
        <v>18</v>
      </c>
      <c r="Q19" s="533"/>
      <c r="R19" s="534" t="s">
        <v>273</v>
      </c>
      <c r="S19" s="534"/>
      <c r="T19" s="535">
        <f>H14</f>
        <v>19</v>
      </c>
      <c r="U19" s="501"/>
      <c r="V19" s="422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T19" s="115"/>
      <c r="AU19" s="115"/>
      <c r="AV19" s="115"/>
      <c r="AW19" s="115"/>
      <c r="AX19" s="115"/>
    </row>
    <row r="20" spans="1:50" ht="42.5" customHeight="1">
      <c r="A20" s="422"/>
      <c r="B20" s="500"/>
      <c r="C20" s="324"/>
      <c r="D20" s="525" t="s">
        <v>203</v>
      </c>
      <c r="E20" s="554">
        <v>56</v>
      </c>
      <c r="F20" s="94">
        <f>IF($O$12=2,"",Consumption!$K$34)</f>
        <v>206.30193293995657</v>
      </c>
      <c r="G20" s="95">
        <f>Radiation!G123/31/86.01</f>
        <v>1.5604596553326406</v>
      </c>
      <c r="H20" s="94">
        <f>IF($O$12=2,E20/G20,F20/G20)</f>
        <v>132.20587423388369</v>
      </c>
      <c r="I20" s="526">
        <f t="shared" si="0"/>
        <v>56</v>
      </c>
      <c r="J20" s="339">
        <f t="shared" si="1"/>
        <v>1.5604596553326406</v>
      </c>
      <c r="K20" s="324" t="str">
        <f t="shared" si="2"/>
        <v>May</v>
      </c>
      <c r="L20" s="324">
        <f>G20*31</f>
        <v>48.374249315311857</v>
      </c>
      <c r="M20" s="324"/>
      <c r="N20" s="536" t="s">
        <v>275</v>
      </c>
      <c r="O20" s="536" t="s">
        <v>269</v>
      </c>
      <c r="P20" s="536" t="s">
        <v>198</v>
      </c>
      <c r="Q20" s="537"/>
      <c r="R20" s="538" t="s">
        <v>274</v>
      </c>
      <c r="S20" s="538" t="s">
        <v>269</v>
      </c>
      <c r="T20" s="538" t="s">
        <v>198</v>
      </c>
      <c r="U20" s="501"/>
      <c r="V20" s="422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T20" s="115"/>
      <c r="AU20" s="115"/>
      <c r="AV20" s="115"/>
      <c r="AW20" s="115"/>
      <c r="AX20" s="115"/>
    </row>
    <row r="21" spans="1:50" ht="28" customHeight="1">
      <c r="A21" s="422"/>
      <c r="B21" s="500"/>
      <c r="C21" s="324"/>
      <c r="D21" s="525" t="s">
        <v>204</v>
      </c>
      <c r="E21" s="554">
        <v>58</v>
      </c>
      <c r="F21" s="94">
        <f>IF($O$12=2,"",Consumption!$K$34)</f>
        <v>206.30193293995657</v>
      </c>
      <c r="G21" s="95">
        <f>Radiation!H123/30/86.01</f>
        <v>1.256903900599277</v>
      </c>
      <c r="H21" s="94">
        <f>IF($O$12=2,E21/G21,F21/G21)</f>
        <v>164.13500892279373</v>
      </c>
      <c r="I21" s="526">
        <f t="shared" si="0"/>
        <v>58</v>
      </c>
      <c r="J21" s="339">
        <f t="shared" si="1"/>
        <v>1.256903900599277</v>
      </c>
      <c r="K21" s="324" t="str">
        <f t="shared" si="2"/>
        <v>June</v>
      </c>
      <c r="L21" s="324">
        <f>G21*30</f>
        <v>37.707117017978312</v>
      </c>
      <c r="M21" s="324"/>
      <c r="N21" s="253">
        <f>IF(O21=0,"",IF($O$12=2,VLOOKUP(O21,AH27:AJ31,2,FALSE),VLOOKUP(O21,AH27:AJ31,2,FALSE)))</f>
        <v>5.6916873609190013</v>
      </c>
      <c r="O21" s="254">
        <f>MAX(AH27,AH30,AH31)</f>
        <v>36.24618146746667</v>
      </c>
      <c r="P21" s="254" t="str">
        <f>IF(O21=0,"",VLOOKUP(O21,AH27:AJ31,3,FALSE))</f>
        <v>November</v>
      </c>
      <c r="Q21" s="177"/>
      <c r="R21" s="255">
        <f>IF(S21=0,"",IF($O$12=2,VLOOKUP(S21,H16:K27,3,FALSE),VLOOKUP(S21,H16:K27,3,FALSE)))</f>
        <v>6.098612103838045</v>
      </c>
      <c r="S21" s="256">
        <f>MIN(H16:H27)</f>
        <v>33.827685615572172</v>
      </c>
      <c r="T21" s="256" t="str">
        <f>IF(S21=0,"",VLOOKUP(S21,H16:K27,4,FALSE))</f>
        <v>December</v>
      </c>
      <c r="U21" s="501"/>
      <c r="V21" s="422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T21" s="115"/>
      <c r="AU21" s="115"/>
      <c r="AV21" s="115"/>
      <c r="AW21" s="115"/>
      <c r="AX21" s="115"/>
    </row>
    <row r="22" spans="1:50" ht="36.5" customHeight="1">
      <c r="A22" s="422"/>
      <c r="B22" s="500"/>
      <c r="C22" s="324"/>
      <c r="D22" s="525" t="s">
        <v>205</v>
      </c>
      <c r="E22" s="554">
        <v>32</v>
      </c>
      <c r="F22" s="94">
        <f>IF($O$12=2,"",Consumption!$K$34)</f>
        <v>206.30193293995657</v>
      </c>
      <c r="G22" s="95">
        <f>Radiation!I123/31/86.01</f>
        <v>1.4225926283465842</v>
      </c>
      <c r="H22" s="94">
        <f>IF($O$12=2,E22/G22,F22/G22)</f>
        <v>145.01827777621207</v>
      </c>
      <c r="I22" s="526">
        <f t="shared" si="0"/>
        <v>32</v>
      </c>
      <c r="J22" s="339">
        <f t="shared" si="1"/>
        <v>1.4225926283465842</v>
      </c>
      <c r="K22" s="324" t="str">
        <f t="shared" si="2"/>
        <v>July</v>
      </c>
      <c r="L22" s="324">
        <f>G22*31</f>
        <v>44.100371478744108</v>
      </c>
      <c r="M22" s="324"/>
      <c r="N22" s="324"/>
      <c r="O22" s="324"/>
      <c r="P22" s="324"/>
      <c r="Q22" s="324"/>
      <c r="R22" s="324"/>
      <c r="S22" s="324"/>
      <c r="T22" s="324"/>
      <c r="U22" s="501"/>
      <c r="V22" s="422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T22" s="115"/>
      <c r="AU22" s="115"/>
      <c r="AV22" s="115"/>
      <c r="AW22" s="115"/>
      <c r="AX22" s="115"/>
    </row>
    <row r="23" spans="1:50" ht="42" customHeight="1">
      <c r="A23" s="422"/>
      <c r="B23" s="500"/>
      <c r="C23" s="324"/>
      <c r="D23" s="525" t="s">
        <v>206</v>
      </c>
      <c r="E23" s="554">
        <v>45</v>
      </c>
      <c r="F23" s="94">
        <f>IF($O$12=2,"",Consumption!$K$34)</f>
        <v>206.30193293995657</v>
      </c>
      <c r="G23" s="95">
        <f>Radiation!J123/31/86.01</f>
        <v>2.1208151308674936</v>
      </c>
      <c r="H23" s="94">
        <f>IF($O$12=2,E23/G23,F23/G23)</f>
        <v>97.274830765457281</v>
      </c>
      <c r="I23" s="526">
        <f t="shared" si="0"/>
        <v>45</v>
      </c>
      <c r="J23" s="339">
        <f t="shared" si="1"/>
        <v>2.1208151308674936</v>
      </c>
      <c r="K23" s="324" t="str">
        <f t="shared" si="2"/>
        <v>August</v>
      </c>
      <c r="L23" s="324">
        <f>G23*31</f>
        <v>65.745269056892297</v>
      </c>
      <c r="M23" s="324"/>
      <c r="N23" s="324"/>
      <c r="O23" s="324"/>
      <c r="P23" s="324"/>
      <c r="Q23" s="324"/>
      <c r="R23" s="539"/>
      <c r="S23" s="324"/>
      <c r="T23" s="324"/>
      <c r="U23" s="501"/>
      <c r="V23" s="422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T23" s="115"/>
      <c r="AU23" s="115"/>
      <c r="AV23" s="115"/>
      <c r="AW23" s="115"/>
      <c r="AX23" s="115"/>
    </row>
    <row r="24" spans="1:50" ht="26" customHeight="1">
      <c r="A24" s="422"/>
      <c r="B24" s="500"/>
      <c r="C24" s="324"/>
      <c r="D24" s="525" t="s">
        <v>207</v>
      </c>
      <c r="E24" s="554">
        <v>48</v>
      </c>
      <c r="F24" s="94">
        <f>IF($O$12=2,"",Consumption!$K$34)</f>
        <v>206.30193293995657</v>
      </c>
      <c r="G24" s="95">
        <f>Radiation!K123/30/86.01</f>
        <v>3.2685895478845977</v>
      </c>
      <c r="H24" s="94">
        <f>IF($O$12=2,E24/G24,F24/G24)</f>
        <v>63.116500226672194</v>
      </c>
      <c r="I24" s="526">
        <f t="shared" si="0"/>
        <v>48</v>
      </c>
      <c r="J24" s="339">
        <f t="shared" si="1"/>
        <v>3.2685895478845977</v>
      </c>
      <c r="K24" s="324" t="str">
        <f t="shared" si="2"/>
        <v>September</v>
      </c>
      <c r="L24" s="324">
        <f>G24*30</f>
        <v>98.057686436537935</v>
      </c>
      <c r="M24" s="324"/>
      <c r="N24" s="324"/>
      <c r="O24" s="324"/>
      <c r="P24" s="324"/>
      <c r="Q24" s="324"/>
      <c r="R24" s="324"/>
      <c r="S24" s="324"/>
      <c r="T24" s="324"/>
      <c r="U24" s="501"/>
      <c r="V24" s="422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T24" s="115"/>
      <c r="AU24" s="115"/>
      <c r="AV24" s="115"/>
      <c r="AW24" s="115"/>
      <c r="AX24" s="115"/>
    </row>
    <row r="25" spans="1:50" ht="19.5" customHeight="1">
      <c r="A25" s="422"/>
      <c r="B25" s="500"/>
      <c r="C25" s="324"/>
      <c r="D25" s="525" t="s">
        <v>208</v>
      </c>
      <c r="E25" s="554"/>
      <c r="F25" s="94">
        <f>IF($O$12=2,"",Consumption!$K$34)</f>
        <v>206.30193293995657</v>
      </c>
      <c r="G25" s="95">
        <f>Radiation!L123/31/86.01</f>
        <v>4.0156330021986957</v>
      </c>
      <c r="H25" s="94">
        <f>IF($O$12=2,E25/G25,F25/G25)</f>
        <v>51.374698043122777</v>
      </c>
      <c r="I25" s="526">
        <f t="shared" si="0"/>
        <v>0</v>
      </c>
      <c r="J25" s="339">
        <f t="shared" si="1"/>
        <v>4.0156330021986957</v>
      </c>
      <c r="K25" s="324" t="str">
        <f t="shared" si="2"/>
        <v>October</v>
      </c>
      <c r="L25" s="324">
        <f>G25*31</f>
        <v>124.48462306815956</v>
      </c>
      <c r="M25" s="324"/>
      <c r="N25" s="324"/>
      <c r="O25" s="324"/>
      <c r="P25" s="324"/>
      <c r="Q25" s="324"/>
      <c r="R25" s="324"/>
      <c r="S25" s="324"/>
      <c r="T25" s="324"/>
      <c r="U25" s="501"/>
      <c r="V25" s="422"/>
      <c r="W25" s="313" t="s">
        <v>83</v>
      </c>
      <c r="X25" s="313"/>
      <c r="Y25" s="313"/>
      <c r="Z25" s="540">
        <f>P15</f>
        <v>26.47</v>
      </c>
      <c r="AA25" s="540"/>
      <c r="AB25" s="313"/>
      <c r="AC25" s="313"/>
      <c r="AD25" s="313" t="s">
        <v>83</v>
      </c>
      <c r="AE25" s="313"/>
      <c r="AF25" s="313"/>
      <c r="AG25" s="263">
        <f>P19</f>
        <v>18</v>
      </c>
      <c r="AH25" s="263"/>
      <c r="AK25" s="173" t="s">
        <v>83</v>
      </c>
      <c r="AN25" s="263">
        <f>T15</f>
        <v>13</v>
      </c>
      <c r="AO25" s="263"/>
      <c r="AT25" s="115"/>
      <c r="AU25" s="115"/>
      <c r="AV25" s="115"/>
      <c r="AW25" s="115"/>
      <c r="AX25" s="115"/>
    </row>
    <row r="26" spans="1:50" ht="47.15" customHeight="1">
      <c r="A26" s="422"/>
      <c r="B26" s="500"/>
      <c r="C26" s="324"/>
      <c r="D26" s="525" t="s">
        <v>209</v>
      </c>
      <c r="E26" s="554"/>
      <c r="F26" s="94">
        <f>IF($O$12=2,"",Consumption!$K$34)</f>
        <v>206.30193293995657</v>
      </c>
      <c r="G26" s="95">
        <f>Radiation!M123/30/86.01</f>
        <v>5.6706880144936864</v>
      </c>
      <c r="H26" s="94">
        <f>IF($O$12=2,E26/G26,F26/G26)</f>
        <v>36.380406118740858</v>
      </c>
      <c r="I26" s="526">
        <f t="shared" si="0"/>
        <v>0</v>
      </c>
      <c r="J26" s="339">
        <f t="shared" si="1"/>
        <v>5.6706880144936864</v>
      </c>
      <c r="K26" s="324" t="str">
        <f t="shared" si="2"/>
        <v>November</v>
      </c>
      <c r="L26" s="324">
        <f>G26*30</f>
        <v>170.12064043481058</v>
      </c>
      <c r="M26" s="324"/>
      <c r="N26" s="324"/>
      <c r="O26" s="324"/>
      <c r="P26" s="324"/>
      <c r="Q26" s="324"/>
      <c r="R26" s="324"/>
      <c r="S26" s="324"/>
      <c r="T26" s="324"/>
      <c r="U26" s="501"/>
      <c r="V26" s="422"/>
      <c r="W26" s="541" t="s">
        <v>1</v>
      </c>
      <c r="X26" s="542" t="s">
        <v>12</v>
      </c>
      <c r="Y26" s="542" t="s">
        <v>12</v>
      </c>
      <c r="Z26" s="542" t="s">
        <v>159</v>
      </c>
      <c r="AA26" s="543" t="s">
        <v>66</v>
      </c>
      <c r="AB26" s="313"/>
      <c r="AC26" s="313"/>
      <c r="AD26" s="541" t="s">
        <v>1</v>
      </c>
      <c r="AE26" s="542" t="s">
        <v>12</v>
      </c>
      <c r="AF26" s="542" t="s">
        <v>12</v>
      </c>
      <c r="AG26" s="265" t="s">
        <v>159</v>
      </c>
      <c r="AH26" s="266" t="s">
        <v>66</v>
      </c>
      <c r="AK26" s="264" t="s">
        <v>1</v>
      </c>
      <c r="AL26" s="265" t="s">
        <v>12</v>
      </c>
      <c r="AM26" s="265" t="s">
        <v>12</v>
      </c>
      <c r="AN26" s="265" t="s">
        <v>159</v>
      </c>
      <c r="AO26" s="266" t="s">
        <v>66</v>
      </c>
      <c r="AT26" s="115"/>
      <c r="AU26" s="115"/>
      <c r="AV26" s="115"/>
      <c r="AW26" s="115"/>
      <c r="AX26" s="115"/>
    </row>
    <row r="27" spans="1:50" ht="41" customHeight="1" thickBot="1">
      <c r="A27" s="422"/>
      <c r="B27" s="500"/>
      <c r="C27" s="324"/>
      <c r="D27" s="525" t="s">
        <v>210</v>
      </c>
      <c r="E27" s="555"/>
      <c r="F27" s="94">
        <f>IF($O$12=2,"",Consumption!$K$34)</f>
        <v>206.30193293995657</v>
      </c>
      <c r="G27" s="95">
        <f>Radiation!N123/31/86.01</f>
        <v>6.098612103838045</v>
      </c>
      <c r="H27" s="94">
        <f>IF($O$12=2,E27/G27,F27/G27)</f>
        <v>33.827685615572172</v>
      </c>
      <c r="I27" s="526">
        <f t="shared" si="0"/>
        <v>0</v>
      </c>
      <c r="J27" s="339">
        <f t="shared" si="1"/>
        <v>6.098612103838045</v>
      </c>
      <c r="K27" s="324" t="str">
        <f t="shared" si="2"/>
        <v>December</v>
      </c>
      <c r="L27" s="324">
        <f>G27*31</f>
        <v>189.0569752189794</v>
      </c>
      <c r="M27" s="324"/>
      <c r="N27" s="324"/>
      <c r="O27" s="324"/>
      <c r="P27" s="324"/>
      <c r="Q27" s="324"/>
      <c r="R27" s="324"/>
      <c r="S27" s="324"/>
      <c r="T27" s="324"/>
      <c r="U27" s="501"/>
      <c r="V27" s="422"/>
      <c r="W27" s="541" t="s">
        <v>199</v>
      </c>
      <c r="X27" s="544">
        <f>E16</f>
        <v>0</v>
      </c>
      <c r="Y27" s="268">
        <f>F16</f>
        <v>206.30193293995657</v>
      </c>
      <c r="Z27" s="269">
        <f>Radiation!C176/31/86.01</f>
        <v>5.8562416309551599</v>
      </c>
      <c r="AA27" s="268">
        <f>IF($O$12=2,X27/Z27,Y27/Z27)</f>
        <v>35.227701645621558</v>
      </c>
      <c r="AB27" s="545">
        <f>Z27</f>
        <v>5.8562416309551599</v>
      </c>
      <c r="AC27" s="313" t="s">
        <v>199</v>
      </c>
      <c r="AD27" s="313" t="s">
        <v>199</v>
      </c>
      <c r="AE27" s="544">
        <f>E16</f>
        <v>0</v>
      </c>
      <c r="AF27" s="268">
        <f>F16</f>
        <v>206.30193293995657</v>
      </c>
      <c r="AG27" s="269">
        <f>Radiation!C229/31/86.01</f>
        <v>6.056654917972299</v>
      </c>
      <c r="AH27" s="268">
        <f>IF($O$12=2,AE27/AG27,AF27/AG27)</f>
        <v>34.062025281939654</v>
      </c>
      <c r="AI27" s="271">
        <f>AG27</f>
        <v>6.056654917972299</v>
      </c>
      <c r="AJ27" s="173" t="s">
        <v>199</v>
      </c>
      <c r="AK27" s="173" t="s">
        <v>199</v>
      </c>
      <c r="AL27" s="267">
        <f>E16</f>
        <v>0</v>
      </c>
      <c r="AM27" s="268">
        <f>F16</f>
        <v>206.30193293995657</v>
      </c>
      <c r="AN27" s="269">
        <f>Radiation!C279/31/86.01</f>
        <v>6.1354315219200135</v>
      </c>
      <c r="AO27" s="268">
        <f>IF($O$12=2,AL27/AN27,AM27/AN27)</f>
        <v>33.624681850478339</v>
      </c>
      <c r="AP27" s="270">
        <f>AN27</f>
        <v>6.1354315219200135</v>
      </c>
      <c r="AQ27" s="173" t="s">
        <v>2</v>
      </c>
      <c r="AT27" s="115"/>
      <c r="AU27" s="115"/>
      <c r="AV27" s="115"/>
      <c r="AW27" s="115"/>
      <c r="AX27" s="115"/>
    </row>
    <row r="28" spans="1:50" ht="30" customHeight="1" thickBot="1">
      <c r="A28" s="422"/>
      <c r="B28" s="500"/>
      <c r="C28" s="324"/>
      <c r="D28" s="546" t="s">
        <v>211</v>
      </c>
      <c r="E28" s="547"/>
      <c r="F28" s="548"/>
      <c r="G28" s="104">
        <f>SUM(G16:G27)</f>
        <v>42.310453408905666</v>
      </c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501"/>
      <c r="V28" s="422"/>
      <c r="W28" s="541" t="s">
        <v>200</v>
      </c>
      <c r="X28" s="544">
        <f>E17</f>
        <v>0</v>
      </c>
      <c r="Y28" s="268">
        <f>F17</f>
        <v>206.30193293995657</v>
      </c>
      <c r="Z28" s="269">
        <f>Radiation!D176/28/86.01</f>
        <v>5.2317853899702538</v>
      </c>
      <c r="AA28" s="268">
        <f>IF($O$12=2,X28/Z28,Y28/Z28)</f>
        <v>39.432415048112198</v>
      </c>
      <c r="AB28" s="545">
        <f t="shared" ref="AB28:AB31" si="3">Z28</f>
        <v>5.2317853899702538</v>
      </c>
      <c r="AC28" s="313" t="s">
        <v>200</v>
      </c>
      <c r="AD28" s="313" t="s">
        <v>200</v>
      </c>
      <c r="AE28" s="544">
        <f>E17</f>
        <v>0</v>
      </c>
      <c r="AF28" s="268">
        <f>F17</f>
        <v>206.30193293995657</v>
      </c>
      <c r="AG28" s="269">
        <f>Radiation!D229/28/86.01</f>
        <v>5.5095300577219906</v>
      </c>
      <c r="AH28" s="268">
        <f>IF($O$12=2,AE28/AG28,AF28/AG28)</f>
        <v>37.444560748118619</v>
      </c>
      <c r="AI28" s="271">
        <f t="shared" ref="AI28:AI31" si="4">AG28</f>
        <v>5.5095300577219906</v>
      </c>
      <c r="AJ28" s="173" t="s">
        <v>200</v>
      </c>
      <c r="AK28" s="173" t="s">
        <v>200</v>
      </c>
      <c r="AL28" s="267">
        <f>E17</f>
        <v>0</v>
      </c>
      <c r="AM28" s="268">
        <f>F17</f>
        <v>206.30193293995657</v>
      </c>
      <c r="AN28" s="269">
        <f>Radiation!D279/31/86.01</f>
        <v>5.0935417428051775</v>
      </c>
      <c r="AO28" s="268">
        <f>IF($O$12=2,AL28/AN28,AM28/AN28)</f>
        <v>40.502648914454454</v>
      </c>
      <c r="AP28" s="270">
        <f t="shared" ref="AP28:AP31" si="5">AN28</f>
        <v>5.0935417428051775</v>
      </c>
      <c r="AQ28" s="173" t="s">
        <v>3</v>
      </c>
      <c r="AT28" s="115"/>
      <c r="AU28" s="115"/>
      <c r="AV28" s="115"/>
      <c r="AW28" s="115"/>
      <c r="AX28" s="115"/>
    </row>
    <row r="29" spans="1:50" ht="30" customHeight="1">
      <c r="A29" s="422"/>
      <c r="B29" s="500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501"/>
      <c r="V29" s="422"/>
      <c r="W29" s="541" t="s">
        <v>201</v>
      </c>
      <c r="X29" s="544">
        <f>E18</f>
        <v>0</v>
      </c>
      <c r="Y29" s="268">
        <f>F18</f>
        <v>206.30193293995657</v>
      </c>
      <c r="Z29" s="269">
        <f>Radiation!E176/31/86.01</f>
        <v>3.5283038457677769</v>
      </c>
      <c r="AA29" s="268">
        <f>IF($O$12=2,X29/Z29,Y29/Z29)</f>
        <v>58.470568850643936</v>
      </c>
      <c r="AB29" s="545">
        <f t="shared" si="3"/>
        <v>3.5283038457677769</v>
      </c>
      <c r="AC29" s="313" t="s">
        <v>201</v>
      </c>
      <c r="AD29" s="313" t="s">
        <v>201</v>
      </c>
      <c r="AE29" s="544">
        <f>E18</f>
        <v>0</v>
      </c>
      <c r="AF29" s="268">
        <f>F18</f>
        <v>206.30193293995657</v>
      </c>
      <c r="AG29" s="269">
        <f>Radiation!E229/31/86.01</f>
        <v>3.8182216645083411</v>
      </c>
      <c r="AH29" s="268">
        <f>IF($O$12=2,AE29/AG29,AF29/AG29)</f>
        <v>54.030894763811816</v>
      </c>
      <c r="AI29" s="271">
        <f t="shared" si="4"/>
        <v>3.8182216645083411</v>
      </c>
      <c r="AJ29" s="173" t="s">
        <v>201</v>
      </c>
      <c r="AK29" s="173" t="s">
        <v>201</v>
      </c>
      <c r="AL29" s="267">
        <f>E18</f>
        <v>0</v>
      </c>
      <c r="AM29" s="268">
        <f>F18</f>
        <v>206.30193293995657</v>
      </c>
      <c r="AN29" s="269">
        <f>Radiation!E279/31/86.01</f>
        <v>3.9671012563977661</v>
      </c>
      <c r="AO29" s="268">
        <f>IF($O$12=2,AL29/AN29,AM29/AN29)</f>
        <v>52.003193164593995</v>
      </c>
      <c r="AP29" s="270">
        <f t="shared" si="5"/>
        <v>3.9671012563977661</v>
      </c>
      <c r="AQ29" s="173" t="s">
        <v>4</v>
      </c>
      <c r="AT29" s="115"/>
      <c r="AU29" s="115"/>
      <c r="AV29" s="115"/>
      <c r="AW29" s="115"/>
      <c r="AX29" s="115"/>
    </row>
    <row r="30" spans="1:50" ht="30" customHeight="1">
      <c r="A30" s="422"/>
      <c r="B30" s="500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501"/>
      <c r="V30" s="422"/>
      <c r="W30" s="541" t="s">
        <v>209</v>
      </c>
      <c r="X30" s="544">
        <f>E26</f>
        <v>0</v>
      </c>
      <c r="Y30" s="268">
        <f>F26</f>
        <v>206.30193293995657</v>
      </c>
      <c r="Z30" s="269">
        <f>Radiation!M176/30/86.01</f>
        <v>5.4802703521062961</v>
      </c>
      <c r="AA30" s="268">
        <f>IF($O$12=2,X30/Z30,Y30/Z30)</f>
        <v>37.644480962634653</v>
      </c>
      <c r="AB30" s="545">
        <f t="shared" si="3"/>
        <v>5.4802703521062961</v>
      </c>
      <c r="AC30" s="313" t="s">
        <v>209</v>
      </c>
      <c r="AD30" s="313" t="s">
        <v>209</v>
      </c>
      <c r="AE30" s="544">
        <f>E26</f>
        <v>0</v>
      </c>
      <c r="AF30" s="268">
        <f>F26</f>
        <v>206.30193293995657</v>
      </c>
      <c r="AG30" s="269">
        <f>Radiation!M229/30/86.01</f>
        <v>5.6916873609190013</v>
      </c>
      <c r="AH30" s="268">
        <f>IF($O$12=2,AE30/AG30,AF30/AG30)</f>
        <v>36.24618146746667</v>
      </c>
      <c r="AI30" s="271">
        <f t="shared" si="4"/>
        <v>5.6916873609190013</v>
      </c>
      <c r="AJ30" s="173" t="s">
        <v>209</v>
      </c>
      <c r="AK30" s="173" t="s">
        <v>209</v>
      </c>
      <c r="AL30" s="267">
        <f>E26</f>
        <v>0</v>
      </c>
      <c r="AM30" s="268">
        <f>F26</f>
        <v>206.30193293995657</v>
      </c>
      <c r="AN30" s="269">
        <f>Radiation!M279/30/86.01</f>
        <v>5.7803309405169516</v>
      </c>
      <c r="AO30" s="268">
        <f>IF($O$12=2,AL30/AN30,AM30/AN30)</f>
        <v>35.690332450326174</v>
      </c>
      <c r="AP30" s="270">
        <f t="shared" si="5"/>
        <v>5.7803309405169516</v>
      </c>
      <c r="AQ30" s="173" t="s">
        <v>10</v>
      </c>
      <c r="AT30" s="115"/>
      <c r="AU30" s="115"/>
      <c r="AV30" s="115"/>
      <c r="AW30" s="115"/>
      <c r="AX30" s="115"/>
    </row>
    <row r="31" spans="1:50" ht="30" customHeight="1" thickBot="1">
      <c r="A31" s="422"/>
      <c r="B31" s="549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1"/>
      <c r="V31" s="422"/>
      <c r="W31" s="541" t="s">
        <v>210</v>
      </c>
      <c r="X31" s="544">
        <f>E27</f>
        <v>0</v>
      </c>
      <c r="Y31" s="268">
        <f>F27</f>
        <v>206.30193293995657</v>
      </c>
      <c r="Z31" s="269">
        <f>Radiation!N176/31/86.01</f>
        <v>5.9409721543279108</v>
      </c>
      <c r="AA31" s="268">
        <f>IF($O$12=2,X31/Z31,Y31/Z31)</f>
        <v>34.725281920345083</v>
      </c>
      <c r="AB31" s="545">
        <f t="shared" si="3"/>
        <v>5.9409721543279108</v>
      </c>
      <c r="AC31" s="313" t="s">
        <v>210</v>
      </c>
      <c r="AD31" s="313" t="s">
        <v>210</v>
      </c>
      <c r="AE31" s="544">
        <f>E27</f>
        <v>0</v>
      </c>
      <c r="AF31" s="268">
        <f>F27</f>
        <v>206.30193293995657</v>
      </c>
      <c r="AG31" s="269">
        <f>Radiation!N229/31/86.01</f>
        <v>6.1147430955149629</v>
      </c>
      <c r="AH31" s="268">
        <f>IF($O$12=2,AE31/AG31,AF31/AG31)</f>
        <v>33.738446524642178</v>
      </c>
      <c r="AI31" s="271">
        <f t="shared" si="4"/>
        <v>6.1147430955149629</v>
      </c>
      <c r="AJ31" s="173" t="s">
        <v>210</v>
      </c>
      <c r="AK31" s="173" t="s">
        <v>210</v>
      </c>
      <c r="AL31" s="267">
        <f>E27</f>
        <v>0</v>
      </c>
      <c r="AM31" s="268">
        <f>F27</f>
        <v>206.30193293995657</v>
      </c>
      <c r="AN31" s="269">
        <f>Radiation!N279/31/86.01</f>
        <v>6.1774416357667539</v>
      </c>
      <c r="AO31" s="268">
        <f>IF($O$12=2,AL31/AN31,AM31/AN31)</f>
        <v>33.396014904534191</v>
      </c>
      <c r="AP31" s="270">
        <f t="shared" si="5"/>
        <v>6.1774416357667539</v>
      </c>
      <c r="AQ31" s="173" t="s">
        <v>11</v>
      </c>
      <c r="AT31" s="115"/>
      <c r="AU31" s="115"/>
      <c r="AV31" s="115"/>
      <c r="AW31" s="115"/>
      <c r="AX31" s="115"/>
    </row>
    <row r="32" spans="1:50" ht="34.5" customHeight="1" thickTop="1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552" t="s">
        <v>61</v>
      </c>
      <c r="X32" s="552"/>
      <c r="Y32" s="552"/>
      <c r="Z32" s="273">
        <f>SUM(Z27:Z31)</f>
        <v>26.037573373127394</v>
      </c>
      <c r="AA32" s="313"/>
      <c r="AB32" s="313"/>
      <c r="AC32" s="313"/>
      <c r="AD32" s="552" t="s">
        <v>61</v>
      </c>
      <c r="AE32" s="552"/>
      <c r="AF32" s="552"/>
      <c r="AG32" s="273">
        <f>SUM(AG27:AG31)</f>
        <v>27.190837096636596</v>
      </c>
      <c r="AK32" s="272" t="s">
        <v>61</v>
      </c>
      <c r="AL32" s="272"/>
      <c r="AM32" s="272"/>
      <c r="AN32" s="273">
        <f>SUM(AN27:AN31)</f>
        <v>27.153847097406665</v>
      </c>
      <c r="AT32" s="115"/>
      <c r="AU32" s="115"/>
      <c r="AV32" s="115"/>
      <c r="AW32" s="115"/>
      <c r="AX32" s="115"/>
    </row>
    <row r="33" spans="1:50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T33" s="115"/>
      <c r="AU33" s="115"/>
      <c r="AV33" s="115"/>
      <c r="AW33" s="115"/>
      <c r="AX33" s="115"/>
    </row>
    <row r="34" spans="1:50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T34" s="115"/>
      <c r="AU34" s="115"/>
      <c r="AV34" s="115"/>
      <c r="AW34" s="115"/>
      <c r="AX34" s="115"/>
    </row>
    <row r="35" spans="1:50">
      <c r="A35" s="422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T35" s="115"/>
      <c r="AU35" s="115"/>
      <c r="AV35" s="115"/>
      <c r="AW35" s="115"/>
      <c r="AX35" s="115"/>
    </row>
    <row r="36" spans="1:50">
      <c r="A36" s="422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T36" s="115"/>
      <c r="AU36" s="115"/>
      <c r="AV36" s="115"/>
      <c r="AW36" s="115"/>
      <c r="AX36" s="115"/>
    </row>
    <row r="37" spans="1:50">
      <c r="A37" s="422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T37" s="115"/>
      <c r="AU37" s="115"/>
      <c r="AV37" s="115"/>
      <c r="AW37" s="115"/>
      <c r="AX37" s="115"/>
    </row>
    <row r="38" spans="1:50">
      <c r="A38" s="422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T38" s="115"/>
      <c r="AU38" s="115"/>
      <c r="AV38" s="115"/>
      <c r="AW38" s="115"/>
      <c r="AX38" s="115"/>
    </row>
    <row r="39" spans="1:50" ht="31.5" customHeight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T39" s="115"/>
      <c r="AU39" s="115"/>
      <c r="AV39" s="115"/>
      <c r="AW39" s="115"/>
      <c r="AX39" s="115"/>
    </row>
    <row r="40" spans="1:50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T40" s="115"/>
      <c r="AU40" s="115"/>
      <c r="AV40" s="115"/>
      <c r="AW40" s="115"/>
      <c r="AX40" s="115"/>
    </row>
    <row r="41" spans="1:50">
      <c r="A41" s="422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T41" s="115"/>
      <c r="AU41" s="115"/>
      <c r="AV41" s="115"/>
      <c r="AW41" s="115"/>
      <c r="AX41" s="115"/>
    </row>
    <row r="42" spans="1:50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T42" s="115"/>
      <c r="AU42" s="115"/>
      <c r="AV42" s="115"/>
      <c r="AW42" s="115"/>
      <c r="AX42" s="115"/>
    </row>
    <row r="43" spans="1:50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T43" s="115"/>
      <c r="AU43" s="115"/>
      <c r="AV43" s="115"/>
      <c r="AW43" s="115"/>
      <c r="AX43" s="115"/>
    </row>
    <row r="44" spans="1:50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T44" s="115"/>
      <c r="AU44" s="115"/>
      <c r="AV44" s="115"/>
      <c r="AW44" s="115"/>
      <c r="AX44" s="115"/>
    </row>
    <row r="45" spans="1:50">
      <c r="A45" s="422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T45" s="115"/>
      <c r="AU45" s="115"/>
      <c r="AV45" s="115"/>
      <c r="AW45" s="115"/>
      <c r="AX45" s="115"/>
    </row>
    <row r="46" spans="1:50">
      <c r="A46" s="422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T46" s="115"/>
      <c r="AU46" s="115"/>
      <c r="AV46" s="115"/>
      <c r="AW46" s="115"/>
      <c r="AX46" s="115"/>
    </row>
    <row r="47" spans="1:50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T47" s="115"/>
      <c r="AU47" s="115"/>
      <c r="AV47" s="115"/>
      <c r="AW47" s="115"/>
      <c r="AX47" s="115"/>
    </row>
    <row r="48" spans="1:50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T48" s="115"/>
      <c r="AU48" s="115"/>
      <c r="AV48" s="115"/>
      <c r="AW48" s="115"/>
      <c r="AX48" s="115"/>
    </row>
    <row r="49" spans="1:50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T49" s="115"/>
      <c r="AU49" s="115"/>
      <c r="AV49" s="115"/>
      <c r="AW49" s="115"/>
      <c r="AX49" s="115"/>
    </row>
    <row r="50" spans="1:50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T50" s="115"/>
      <c r="AU50" s="115"/>
      <c r="AV50" s="115"/>
      <c r="AW50" s="115"/>
      <c r="AX50" s="115"/>
    </row>
    <row r="51" spans="1:50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T51" s="115"/>
      <c r="AU51" s="115"/>
      <c r="AV51" s="115"/>
      <c r="AW51" s="115"/>
      <c r="AX51" s="115"/>
    </row>
    <row r="52" spans="1:50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T52" s="115"/>
      <c r="AU52" s="115"/>
      <c r="AV52" s="115"/>
      <c r="AW52" s="115"/>
      <c r="AX52" s="115"/>
    </row>
    <row r="53" spans="1:50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T53" s="115"/>
      <c r="AU53" s="115"/>
      <c r="AV53" s="115"/>
      <c r="AW53" s="115"/>
      <c r="AX53" s="115"/>
    </row>
    <row r="54" spans="1:50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T54" s="115"/>
      <c r="AU54" s="115"/>
      <c r="AV54" s="115"/>
      <c r="AW54" s="115"/>
      <c r="AX54" s="115"/>
    </row>
    <row r="55" spans="1:50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T55" s="115"/>
      <c r="AU55" s="115"/>
      <c r="AV55" s="115"/>
      <c r="AW55" s="115"/>
      <c r="AX55" s="115"/>
    </row>
    <row r="56" spans="1:50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T56" s="115"/>
      <c r="AU56" s="115"/>
      <c r="AV56" s="115"/>
      <c r="AW56" s="115"/>
      <c r="AX56" s="115"/>
    </row>
    <row r="57" spans="1:50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T57" s="115"/>
      <c r="AU57" s="115"/>
      <c r="AV57" s="115"/>
      <c r="AW57" s="115"/>
      <c r="AX57" s="115"/>
    </row>
    <row r="58" spans="1:50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T58" s="115"/>
      <c r="AU58" s="115"/>
      <c r="AV58" s="115"/>
      <c r="AW58" s="115"/>
      <c r="AX58" s="115"/>
    </row>
    <row r="59" spans="1:50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T59" s="115"/>
      <c r="AU59" s="115"/>
      <c r="AV59" s="115"/>
      <c r="AW59" s="115"/>
      <c r="AX59" s="115"/>
    </row>
    <row r="60" spans="1:50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AT60" s="115"/>
      <c r="AU60" s="115"/>
      <c r="AV60" s="115"/>
      <c r="AW60" s="115"/>
      <c r="AX60" s="115"/>
    </row>
    <row r="61" spans="1:50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AT61" s="115"/>
      <c r="AU61" s="115"/>
      <c r="AV61" s="115"/>
      <c r="AW61" s="115"/>
      <c r="AX61" s="115"/>
    </row>
    <row r="62" spans="1:50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AT62" s="115"/>
      <c r="AU62" s="115"/>
      <c r="AV62" s="115"/>
      <c r="AW62" s="115"/>
      <c r="AX62" s="115"/>
    </row>
    <row r="63" spans="1:50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AT63" s="115"/>
      <c r="AU63" s="115"/>
      <c r="AV63" s="115"/>
      <c r="AW63" s="115"/>
      <c r="AX63" s="115"/>
    </row>
    <row r="64" spans="1:50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AT64" s="115"/>
      <c r="AU64" s="115"/>
      <c r="AV64" s="115"/>
      <c r="AW64" s="115"/>
      <c r="AX64" s="115"/>
    </row>
    <row r="65" spans="1:50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AT65" s="115"/>
      <c r="AU65" s="115"/>
      <c r="AV65" s="115"/>
      <c r="AW65" s="115"/>
      <c r="AX65" s="115"/>
    </row>
    <row r="66" spans="1:50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AT66" s="115"/>
      <c r="AU66" s="115"/>
      <c r="AV66" s="115"/>
      <c r="AW66" s="115"/>
      <c r="AX66" s="115"/>
    </row>
    <row r="67" spans="1:50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AT67" s="115"/>
      <c r="AU67" s="115"/>
      <c r="AV67" s="115"/>
      <c r="AW67" s="115"/>
      <c r="AX67" s="115"/>
    </row>
    <row r="68" spans="1:50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AT68" s="115"/>
      <c r="AU68" s="115"/>
      <c r="AV68" s="115"/>
      <c r="AW68" s="115"/>
      <c r="AX68" s="115"/>
    </row>
    <row r="69" spans="1:50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AT69" s="115"/>
      <c r="AU69" s="115"/>
      <c r="AV69" s="115"/>
      <c r="AW69" s="115"/>
      <c r="AX69" s="115"/>
    </row>
    <row r="70" spans="1:50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AT70" s="115"/>
      <c r="AU70" s="115"/>
      <c r="AV70" s="115"/>
      <c r="AW70" s="115"/>
      <c r="AX70" s="115"/>
    </row>
    <row r="71" spans="1:50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AT71" s="115"/>
      <c r="AU71" s="115"/>
      <c r="AV71" s="115"/>
      <c r="AW71" s="115"/>
      <c r="AX71" s="115"/>
    </row>
    <row r="72" spans="1:50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AT72" s="115"/>
      <c r="AU72" s="115"/>
      <c r="AV72" s="115"/>
      <c r="AW72" s="115"/>
      <c r="AX72" s="115"/>
    </row>
    <row r="73" spans="1:50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AT73" s="115"/>
      <c r="AU73" s="115"/>
      <c r="AV73" s="115"/>
      <c r="AW73" s="115"/>
      <c r="AX73" s="115"/>
    </row>
    <row r="74" spans="1:50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AT74" s="115"/>
      <c r="AU74" s="115"/>
      <c r="AV74" s="115"/>
      <c r="AW74" s="115"/>
      <c r="AX74" s="115"/>
    </row>
    <row r="75" spans="1:50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AT75" s="115"/>
      <c r="AU75" s="115"/>
      <c r="AV75" s="115"/>
      <c r="AW75" s="115"/>
      <c r="AX75" s="115"/>
    </row>
    <row r="76" spans="1:50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AT76" s="115"/>
      <c r="AU76" s="115"/>
      <c r="AV76" s="115"/>
      <c r="AW76" s="115"/>
      <c r="AX76" s="115"/>
    </row>
    <row r="77" spans="1:50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AT77" s="115"/>
      <c r="AU77" s="115"/>
      <c r="AV77" s="115"/>
      <c r="AW77" s="115"/>
      <c r="AX77" s="115"/>
    </row>
  </sheetData>
  <sheetProtection password="9853" sheet="1" objects="1" scenarios="1" selectLockedCells="1"/>
  <protectedRanges>
    <protectedRange sqref="P9:Q10" name="Localidad"/>
    <protectedRange sqref="H14 Z25 AG25 AN25" name="Angulo inclinación"/>
  </protectedRanges>
  <mergeCells count="15">
    <mergeCell ref="F4:H4"/>
    <mergeCell ref="F6:H6"/>
    <mergeCell ref="P4:S4"/>
    <mergeCell ref="P6:S6"/>
    <mergeCell ref="D28:F28"/>
    <mergeCell ref="N15:O15"/>
    <mergeCell ref="N19:O19"/>
    <mergeCell ref="R15:S15"/>
    <mergeCell ref="R19:S19"/>
    <mergeCell ref="AN25:AO25"/>
    <mergeCell ref="AK32:AM32"/>
    <mergeCell ref="AG25:AH25"/>
    <mergeCell ref="Z25:AA25"/>
    <mergeCell ref="W32:Y32"/>
    <mergeCell ref="AD32:AF32"/>
  </mergeCells>
  <phoneticPr fontId="12" type="noConversion"/>
  <printOptions horizontalCentered="1"/>
  <pageMargins left="0" right="0" top="0.39370078740157483" bottom="0" header="0" footer="0"/>
  <pageSetup paperSize="9" scale="5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203200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X235"/>
  <sheetViews>
    <sheetView showGridLines="0" zoomScale="80" zoomScaleNormal="80" zoomScaleSheetLayoutView="75" workbookViewId="0">
      <selection activeCell="F15" sqref="F15:G15"/>
    </sheetView>
  </sheetViews>
  <sheetFormatPr baseColWidth="10" defaultRowHeight="12.5"/>
  <cols>
    <col min="1" max="1" width="6.7265625" customWidth="1"/>
    <col min="2" max="2" width="8.7265625" customWidth="1"/>
    <col min="3" max="4" width="15.7265625" customWidth="1"/>
    <col min="5" max="5" width="20.26953125" bestFit="1" customWidth="1"/>
    <col min="6" max="6" width="17.26953125" customWidth="1"/>
    <col min="7" max="8" width="15.7265625" customWidth="1"/>
    <col min="9" max="9" width="19.26953125" bestFit="1" customWidth="1"/>
    <col min="10" max="10" width="17.1796875" bestFit="1" customWidth="1"/>
    <col min="11" max="11" width="20.1796875" bestFit="1" customWidth="1"/>
    <col min="12" max="12" width="21.1796875" customWidth="1"/>
    <col min="14" max="14" width="4.1796875" customWidth="1"/>
    <col min="16" max="16" width="0.1796875" hidden="1" customWidth="1"/>
    <col min="17" max="17" width="11.453125" hidden="1" customWidth="1"/>
    <col min="19" max="19" width="11.26953125" customWidth="1"/>
    <col min="20" max="20" width="8.81640625" style="160" customWidth="1"/>
    <col min="21" max="21" width="10.26953125" style="160" bestFit="1" customWidth="1"/>
    <col min="22" max="22" width="10.1796875" customWidth="1"/>
    <col min="23" max="23" width="10.453125" customWidth="1"/>
  </cols>
  <sheetData>
    <row r="1" spans="1:24" s="115" customFormat="1" ht="13" thickBo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</row>
    <row r="2" spans="1:24">
      <c r="A2" s="324"/>
      <c r="B2" s="423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5"/>
      <c r="O2" s="461"/>
      <c r="P2" s="422"/>
      <c r="Q2" s="422"/>
      <c r="R2" s="422"/>
      <c r="S2" s="422"/>
      <c r="T2" s="462"/>
      <c r="U2" s="462"/>
      <c r="V2" s="463"/>
      <c r="W2" s="463"/>
      <c r="X2" s="463"/>
    </row>
    <row r="3" spans="1:24" ht="15.5">
      <c r="A3" s="324"/>
      <c r="B3" s="426"/>
      <c r="C3" s="324"/>
      <c r="D3" s="321"/>
      <c r="E3" s="321" t="s">
        <v>172</v>
      </c>
      <c r="F3" s="427" t="str">
        <f>Consumption!D3</f>
        <v>HOUSING</v>
      </c>
      <c r="G3" s="427"/>
      <c r="H3" s="427"/>
      <c r="I3" s="321"/>
      <c r="J3" s="321" t="s">
        <v>174</v>
      </c>
      <c r="K3" s="421" t="str">
        <f>Consumption!H3</f>
        <v>POLAND</v>
      </c>
      <c r="L3" s="421"/>
      <c r="M3" s="421"/>
      <c r="N3" s="430"/>
      <c r="O3" s="429"/>
      <c r="P3" s="422"/>
      <c r="Q3" s="422"/>
      <c r="R3" s="422"/>
      <c r="S3" s="422"/>
      <c r="T3" s="462"/>
      <c r="U3" s="462"/>
      <c r="V3" s="463"/>
      <c r="W3" s="463"/>
      <c r="X3" s="463"/>
    </row>
    <row r="4" spans="1:24">
      <c r="A4" s="324"/>
      <c r="B4" s="426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5"/>
      <c r="O4" s="324"/>
      <c r="P4" s="422"/>
      <c r="Q4" s="422"/>
      <c r="R4" s="422"/>
      <c r="S4" s="422"/>
      <c r="T4" s="462"/>
      <c r="U4" s="462"/>
      <c r="V4" s="463"/>
      <c r="W4" s="463"/>
      <c r="X4" s="463"/>
    </row>
    <row r="5" spans="1:24" ht="15.5">
      <c r="A5" s="324"/>
      <c r="B5" s="426"/>
      <c r="C5" s="324"/>
      <c r="D5" s="431"/>
      <c r="E5" s="321" t="s">
        <v>173</v>
      </c>
      <c r="F5" s="432" t="str">
        <f>Consumption!D5</f>
        <v>VIPSKILLS</v>
      </c>
      <c r="G5" s="432"/>
      <c r="H5" s="432"/>
      <c r="I5" s="321"/>
      <c r="J5" s="321" t="s">
        <v>175</v>
      </c>
      <c r="K5" s="186">
        <f>Consumption!H5</f>
        <v>42920</v>
      </c>
      <c r="L5" s="186"/>
      <c r="M5" s="186"/>
      <c r="N5" s="213"/>
      <c r="O5" s="121"/>
      <c r="P5" s="422"/>
      <c r="Q5" s="422"/>
      <c r="R5" s="422"/>
      <c r="S5" s="422"/>
      <c r="T5" s="462"/>
      <c r="U5" s="462"/>
      <c r="V5" s="463"/>
      <c r="W5" s="463"/>
      <c r="X5" s="463"/>
    </row>
    <row r="6" spans="1:24" ht="15.5">
      <c r="A6" s="324"/>
      <c r="B6" s="426"/>
      <c r="C6" s="324"/>
      <c r="D6" s="431"/>
      <c r="E6" s="321"/>
      <c r="F6" s="321"/>
      <c r="G6" s="321"/>
      <c r="H6" s="321"/>
      <c r="I6" s="321"/>
      <c r="J6" s="321"/>
      <c r="K6" s="321"/>
      <c r="L6" s="321"/>
      <c r="M6" s="321"/>
      <c r="N6" s="213"/>
      <c r="O6" s="121"/>
      <c r="P6" s="422"/>
      <c r="Q6" s="422"/>
      <c r="R6" s="422"/>
      <c r="S6" s="422"/>
      <c r="T6" s="462"/>
      <c r="U6" s="462"/>
      <c r="V6" s="463"/>
      <c r="W6" s="463"/>
      <c r="X6" s="463"/>
    </row>
    <row r="7" spans="1:24" ht="20">
      <c r="A7" s="324"/>
      <c r="B7" s="426"/>
      <c r="C7" s="434" t="s">
        <v>219</v>
      </c>
      <c r="D7" s="330"/>
      <c r="E7" s="324"/>
      <c r="F7" s="324"/>
      <c r="G7" s="324"/>
      <c r="H7" s="324"/>
      <c r="I7" s="324"/>
      <c r="J7" s="324"/>
      <c r="K7" s="324"/>
      <c r="L7" s="324"/>
      <c r="M7" s="324"/>
      <c r="N7" s="325"/>
      <c r="O7" s="422"/>
      <c r="P7" s="422"/>
      <c r="Q7" s="422"/>
      <c r="R7" s="422"/>
      <c r="S7" s="422"/>
      <c r="T7" s="462"/>
      <c r="U7" s="462"/>
      <c r="V7" s="463"/>
      <c r="W7" s="463"/>
      <c r="X7" s="463"/>
    </row>
    <row r="8" spans="1:24">
      <c r="A8" s="324"/>
      <c r="B8" s="426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5"/>
      <c r="O8" s="422"/>
      <c r="P8" s="422"/>
      <c r="Q8" s="422"/>
      <c r="R8" s="422"/>
      <c r="S8" s="422"/>
      <c r="T8" s="462"/>
      <c r="U8" s="462"/>
      <c r="V8" s="463"/>
      <c r="W8" s="463"/>
      <c r="X8" s="463"/>
    </row>
    <row r="9" spans="1:24" ht="30" customHeight="1">
      <c r="A9" s="324"/>
      <c r="B9" s="426"/>
      <c r="C9" s="324"/>
      <c r="D9" s="324"/>
      <c r="E9" s="464" t="s">
        <v>220</v>
      </c>
      <c r="F9" s="464"/>
      <c r="G9" s="464"/>
      <c r="H9" s="465"/>
      <c r="I9" s="466" t="s">
        <v>292</v>
      </c>
      <c r="J9" s="466"/>
      <c r="K9" s="466"/>
      <c r="L9" s="324"/>
      <c r="M9" s="324"/>
      <c r="N9" s="325"/>
      <c r="O9" s="422"/>
      <c r="P9" s="422"/>
      <c r="Q9" s="422"/>
      <c r="R9" s="422"/>
      <c r="S9" s="422"/>
      <c r="T9" s="462"/>
      <c r="U9" s="462"/>
      <c r="V9" s="463"/>
      <c r="W9" s="463"/>
      <c r="X9" s="463"/>
    </row>
    <row r="10" spans="1:24" ht="30" customHeight="1">
      <c r="A10" s="324"/>
      <c r="B10" s="426"/>
      <c r="C10" s="324"/>
      <c r="D10" s="324"/>
      <c r="E10" s="467" t="s">
        <v>221</v>
      </c>
      <c r="F10" s="490"/>
      <c r="G10" s="491"/>
      <c r="H10" s="468"/>
      <c r="I10" s="469" t="str">
        <f>IF(I27&gt;1.13*F20,"INCREASE OF BATTERIES CAPACITY IS RECOMENDED","")</f>
        <v>INCREASE OF BATTERIES CAPACITY IS RECOMENDED</v>
      </c>
      <c r="J10" s="469"/>
      <c r="K10" s="470"/>
      <c r="L10" s="471"/>
      <c r="M10" s="324"/>
      <c r="N10" s="325"/>
      <c r="O10" s="422"/>
      <c r="P10" s="422">
        <v>7</v>
      </c>
      <c r="Q10" s="422">
        <v>10</v>
      </c>
      <c r="R10" s="422"/>
      <c r="S10" s="422"/>
      <c r="T10" s="462"/>
      <c r="U10" s="462"/>
      <c r="V10" s="463"/>
      <c r="W10" s="463"/>
      <c r="X10" s="463"/>
    </row>
    <row r="11" spans="1:24" ht="30" customHeight="1">
      <c r="A11" s="324"/>
      <c r="B11" s="426"/>
      <c r="C11" s="324"/>
      <c r="D11" s="324"/>
      <c r="E11" s="472" t="s">
        <v>222</v>
      </c>
      <c r="F11" s="490"/>
      <c r="G11" s="491"/>
      <c r="H11" s="473"/>
      <c r="I11" s="469" t="str">
        <f>IF((H27&gt;0.2),"INCREASE OF BATTERIES CAPACITY IS RECOMENDED","")</f>
        <v>INCREASE OF BATTERIES CAPACITY IS RECOMENDED</v>
      </c>
      <c r="J11" s="470"/>
      <c r="K11" s="470"/>
      <c r="L11" s="473"/>
      <c r="M11" s="324"/>
      <c r="N11" s="325"/>
      <c r="O11" s="422"/>
      <c r="P11" s="422"/>
      <c r="Q11" s="422"/>
      <c r="R11" s="422"/>
      <c r="S11" s="422"/>
      <c r="T11" s="462"/>
      <c r="U11" s="462"/>
      <c r="V11" s="463"/>
      <c r="W11" s="463"/>
      <c r="X11" s="463"/>
    </row>
    <row r="12" spans="1:24" ht="30" customHeight="1">
      <c r="A12" s="324"/>
      <c r="B12" s="426"/>
      <c r="C12" s="324"/>
      <c r="D12" s="324"/>
      <c r="E12" s="472" t="s">
        <v>223</v>
      </c>
      <c r="F12" s="492"/>
      <c r="G12" s="493"/>
      <c r="H12" s="473"/>
      <c r="I12" s="474" t="str">
        <f>IF(I27&gt;1,"IMPROPER NUMBER OF BATTERIES","")</f>
        <v>IMPROPER NUMBER OF BATTERIES</v>
      </c>
      <c r="J12" s="470"/>
      <c r="K12" s="470"/>
      <c r="L12" s="473"/>
      <c r="M12" s="324"/>
      <c r="N12" s="325"/>
      <c r="O12" s="422"/>
      <c r="P12" s="422"/>
      <c r="Q12" s="422"/>
      <c r="R12" s="422"/>
      <c r="S12" s="422"/>
      <c r="T12" s="462"/>
      <c r="U12" s="462"/>
      <c r="V12" s="463"/>
      <c r="W12" s="463"/>
      <c r="X12" s="463"/>
    </row>
    <row r="13" spans="1:24" ht="30" customHeight="1">
      <c r="A13" s="324"/>
      <c r="B13" s="426"/>
      <c r="C13" s="324"/>
      <c r="D13" s="324"/>
      <c r="E13" s="475" t="s">
        <v>276</v>
      </c>
      <c r="F13" s="494">
        <v>12</v>
      </c>
      <c r="G13" s="495"/>
      <c r="H13" s="476"/>
      <c r="I13" s="324"/>
      <c r="J13" s="324"/>
      <c r="K13" s="324"/>
      <c r="L13" s="473"/>
      <c r="M13" s="324"/>
      <c r="N13" s="325"/>
      <c r="O13" s="422"/>
      <c r="P13" s="422"/>
      <c r="Q13" s="422"/>
      <c r="R13" s="422"/>
      <c r="S13" s="422"/>
      <c r="T13" s="462"/>
      <c r="U13" s="462"/>
      <c r="V13" s="463"/>
      <c r="W13" s="463"/>
      <c r="X13" s="463"/>
    </row>
    <row r="14" spans="1:24" ht="30" customHeight="1">
      <c r="A14" s="324"/>
      <c r="B14" s="426"/>
      <c r="C14" s="324"/>
      <c r="D14" s="324"/>
      <c r="E14" s="475" t="s">
        <v>277</v>
      </c>
      <c r="F14" s="496"/>
      <c r="G14" s="491"/>
      <c r="H14" s="476"/>
      <c r="I14" s="324"/>
      <c r="J14" s="324"/>
      <c r="K14" s="324"/>
      <c r="L14" s="473"/>
      <c r="M14" s="324"/>
      <c r="N14" s="325"/>
      <c r="O14" s="422"/>
      <c r="P14" s="422"/>
      <c r="Q14" s="422"/>
      <c r="R14" s="422"/>
      <c r="S14" s="422"/>
      <c r="T14" s="462"/>
      <c r="U14" s="462"/>
      <c r="V14" s="463"/>
      <c r="W14" s="463"/>
      <c r="X14" s="463"/>
    </row>
    <row r="15" spans="1:24" ht="30" customHeight="1">
      <c r="A15" s="324"/>
      <c r="B15" s="426"/>
      <c r="C15" s="324"/>
      <c r="D15" s="324"/>
      <c r="E15" s="475" t="s">
        <v>278</v>
      </c>
      <c r="F15" s="496"/>
      <c r="G15" s="491"/>
      <c r="H15" s="476"/>
      <c r="I15" s="477"/>
      <c r="J15" s="473"/>
      <c r="K15" s="473"/>
      <c r="L15" s="473"/>
      <c r="M15" s="324"/>
      <c r="N15" s="325"/>
      <c r="O15" s="422"/>
      <c r="P15" s="422"/>
      <c r="Q15" s="422"/>
      <c r="R15" s="422"/>
      <c r="S15" s="422"/>
      <c r="T15" s="462"/>
      <c r="U15" s="462"/>
      <c r="V15" s="463"/>
      <c r="W15" s="463"/>
      <c r="X15" s="463"/>
    </row>
    <row r="16" spans="1:24" ht="30" customHeight="1">
      <c r="A16" s="324"/>
      <c r="B16" s="426"/>
      <c r="C16" s="324"/>
      <c r="D16" s="324"/>
      <c r="E16" s="475" t="s">
        <v>161</v>
      </c>
      <c r="F16" s="496">
        <v>108</v>
      </c>
      <c r="G16" s="491"/>
      <c r="H16" s="476"/>
      <c r="I16" s="473"/>
      <c r="J16" s="473"/>
      <c r="K16" s="473"/>
      <c r="L16" s="473"/>
      <c r="M16" s="324"/>
      <c r="N16" s="325"/>
      <c r="O16" s="422"/>
      <c r="P16" s="422"/>
      <c r="Q16" s="422"/>
      <c r="R16" s="422"/>
      <c r="S16" s="422"/>
      <c r="T16" s="462"/>
      <c r="U16" s="462"/>
      <c r="V16" s="463"/>
      <c r="W16" s="463"/>
      <c r="X16" s="463"/>
    </row>
    <row r="17" spans="1:24">
      <c r="A17" s="324"/>
      <c r="B17" s="426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5"/>
      <c r="O17" s="422"/>
      <c r="P17" s="422"/>
      <c r="Q17" s="422"/>
      <c r="R17" s="422"/>
      <c r="S17" s="422"/>
      <c r="T17" s="462"/>
      <c r="U17" s="462"/>
      <c r="V17" s="463"/>
      <c r="W17" s="463"/>
      <c r="X17" s="463"/>
    </row>
    <row r="18" spans="1:24" ht="19" thickBot="1">
      <c r="A18" s="324"/>
      <c r="B18" s="426"/>
      <c r="C18" s="324"/>
      <c r="D18" s="324"/>
      <c r="E18" s="324"/>
      <c r="F18" s="324"/>
      <c r="G18" s="324"/>
      <c r="H18" s="324"/>
      <c r="I18" s="324"/>
      <c r="J18" s="324"/>
      <c r="K18" s="324"/>
      <c r="L18" s="478"/>
      <c r="M18" s="478"/>
      <c r="N18" s="325"/>
      <c r="O18" s="422"/>
      <c r="P18" s="422"/>
      <c r="Q18" s="422"/>
      <c r="R18" s="422"/>
      <c r="S18" s="422"/>
      <c r="T18" s="462"/>
      <c r="U18" s="462"/>
      <c r="V18" s="463"/>
      <c r="W18" s="463"/>
      <c r="X18" s="463"/>
    </row>
    <row r="19" spans="1:24" ht="55" customHeight="1" thickBot="1">
      <c r="A19" s="324"/>
      <c r="B19" s="426"/>
      <c r="C19" s="446" t="s">
        <v>224</v>
      </c>
      <c r="D19" s="479" t="s">
        <v>198</v>
      </c>
      <c r="E19" s="447" t="s">
        <v>225</v>
      </c>
      <c r="F19" s="447" t="s">
        <v>226</v>
      </c>
      <c r="G19" s="447" t="s">
        <v>227</v>
      </c>
      <c r="H19" s="448" t="s">
        <v>228</v>
      </c>
      <c r="I19" s="449" t="s">
        <v>229</v>
      </c>
      <c r="J19" s="449" t="s">
        <v>230</v>
      </c>
      <c r="K19" s="447" t="s">
        <v>231</v>
      </c>
      <c r="L19" s="324"/>
      <c r="M19" s="324"/>
      <c r="N19" s="325"/>
      <c r="O19" s="422"/>
      <c r="P19" s="422"/>
      <c r="Q19" s="422"/>
      <c r="R19" s="422"/>
      <c r="S19" s="422"/>
      <c r="T19" s="487"/>
      <c r="U19" s="487"/>
      <c r="V19" s="487"/>
      <c r="W19" s="487"/>
      <c r="X19" s="487"/>
    </row>
    <row r="20" spans="1:24" ht="24" customHeight="1">
      <c r="A20" s="324"/>
      <c r="B20" s="426"/>
      <c r="C20" s="94">
        <f>IF('Inclination angle'!O12=2,VLOOKUP(V20,'Inclination angle'!H16:I27,2,FALSE),Consumption!K34)</f>
        <v>206.30193293995657</v>
      </c>
      <c r="D20" s="94" t="str">
        <f>IF('Inclination angle'!O12=2,VLOOKUP(Battery!C20,'Inclination angle'!E16:K27,7,FALSE),'Inclination angle'!T21)</f>
        <v>December</v>
      </c>
      <c r="E20" s="285">
        <v>3</v>
      </c>
      <c r="F20" s="285">
        <f>P10/10</f>
        <v>0.7</v>
      </c>
      <c r="G20" s="285">
        <f>Q10/10</f>
        <v>1</v>
      </c>
      <c r="H20" s="94" t="b">
        <f>IF(PV!E8=1,(C18*U18*E18)/(F18*G18),IF(PV!E8=2,(C18*(U18*0.66)*E18)/(F18*G18),IF(PV!E8=3,(C18*(U18-0.61)*E18)/(F18*G18),IF(PV!E8=4,(C18*(U18/2)*E18)/(F18*G18),IF(PV!E8=5,(C18*(U18/3)*E18)/(F18*G18),IF(PV!E8=6,(C18*(U18/4)*E18)/(F18*G18)))))))</f>
        <v>0</v>
      </c>
      <c r="I20" s="103">
        <f>F16</f>
        <v>108</v>
      </c>
      <c r="J20" s="103">
        <f>ROUNDUP(IF(I20=0,"0",(H20/I20)),0)</f>
        <v>0</v>
      </c>
      <c r="K20" s="285">
        <v>1</v>
      </c>
      <c r="L20" s="324"/>
      <c r="M20" s="324"/>
      <c r="N20" s="325"/>
      <c r="O20" s="422"/>
      <c r="P20" s="422"/>
      <c r="Q20" s="422"/>
      <c r="R20" s="422"/>
      <c r="S20" s="422"/>
      <c r="T20" s="487"/>
      <c r="U20" s="488">
        <f>(1+SQRT(5))/2</f>
        <v>1.6180339887498949</v>
      </c>
      <c r="V20" s="489">
        <f>'Inclination angle'!S21</f>
        <v>33.827685615572172</v>
      </c>
      <c r="W20" s="487"/>
      <c r="X20" s="487"/>
    </row>
    <row r="21" spans="1:24">
      <c r="A21" s="324"/>
      <c r="B21" s="426"/>
      <c r="C21" s="324"/>
      <c r="D21" s="324"/>
      <c r="E21" s="324"/>
      <c r="F21" s="324"/>
      <c r="G21" s="280"/>
      <c r="H21" s="324"/>
      <c r="I21" s="324"/>
      <c r="J21" s="324"/>
      <c r="K21" s="324"/>
      <c r="L21" s="324"/>
      <c r="M21" s="324"/>
      <c r="N21" s="325"/>
      <c r="O21" s="422"/>
      <c r="P21" s="463"/>
      <c r="Q21" s="463"/>
      <c r="R21" s="422"/>
      <c r="S21" s="422"/>
      <c r="T21" s="487"/>
      <c r="U21" s="487"/>
      <c r="V21" s="487"/>
      <c r="W21" s="487"/>
      <c r="X21" s="487"/>
    </row>
    <row r="22" spans="1:24" ht="13" thickBot="1">
      <c r="A22" s="324"/>
      <c r="B22" s="426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5"/>
      <c r="O22" s="422"/>
      <c r="P22" s="463"/>
      <c r="Q22" s="463"/>
      <c r="R22" s="422"/>
      <c r="S22" s="422"/>
      <c r="T22" s="487"/>
      <c r="U22" s="487"/>
      <c r="V22" s="487"/>
      <c r="W22" s="487"/>
      <c r="X22" s="487"/>
    </row>
    <row r="23" spans="1:24" ht="55" customHeight="1" thickBot="1">
      <c r="A23" s="324"/>
      <c r="B23" s="426"/>
      <c r="C23" s="324"/>
      <c r="D23" s="324"/>
      <c r="E23" s="324"/>
      <c r="F23" s="446" t="s">
        <v>266</v>
      </c>
      <c r="G23" s="448" t="s">
        <v>279</v>
      </c>
      <c r="H23" s="453" t="s">
        <v>232</v>
      </c>
      <c r="I23" s="453" t="s">
        <v>233</v>
      </c>
      <c r="J23" s="454" t="s">
        <v>234</v>
      </c>
      <c r="K23" s="324"/>
      <c r="L23" s="324"/>
      <c r="M23" s="324"/>
      <c r="N23" s="325"/>
      <c r="O23" s="422"/>
      <c r="P23" s="422"/>
      <c r="Q23" s="422"/>
      <c r="R23" s="422"/>
      <c r="S23" s="422"/>
      <c r="T23" s="487"/>
      <c r="U23" s="487"/>
      <c r="V23" s="487"/>
      <c r="W23" s="487"/>
      <c r="X23" s="487"/>
    </row>
    <row r="24" spans="1:24" s="111" customFormat="1" ht="30" customHeight="1">
      <c r="A24" s="473"/>
      <c r="B24" s="480"/>
      <c r="C24" s="324"/>
      <c r="D24" s="324"/>
      <c r="E24" s="473"/>
      <c r="F24" s="103">
        <f>IF('Inclination angle'!O12=2,'Inclination angle'!#REF!,Consumption!F34)</f>
        <v>220</v>
      </c>
      <c r="G24" s="103">
        <f>F13</f>
        <v>12</v>
      </c>
      <c r="H24" s="109">
        <f>IF(G24=0,"0",F24/G24)</f>
        <v>18.333333333333332</v>
      </c>
      <c r="I24" s="109">
        <f>K20</f>
        <v>1</v>
      </c>
      <c r="J24" s="109">
        <f>I24*H24</f>
        <v>18.333333333333332</v>
      </c>
      <c r="K24" s="324"/>
      <c r="L24" s="324"/>
      <c r="M24" s="473"/>
      <c r="N24" s="481"/>
      <c r="O24" s="482"/>
      <c r="P24" s="482"/>
      <c r="Q24" s="482"/>
      <c r="R24" s="482"/>
      <c r="S24" s="482"/>
      <c r="T24" s="483"/>
      <c r="U24" s="483"/>
      <c r="V24" s="484"/>
      <c r="W24" s="484"/>
      <c r="X24" s="484"/>
    </row>
    <row r="25" spans="1:24" s="111" customFormat="1" ht="30" customHeight="1" thickBot="1">
      <c r="A25" s="473"/>
      <c r="B25" s="480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473"/>
      <c r="N25" s="481"/>
      <c r="O25" s="482"/>
      <c r="P25" s="482"/>
      <c r="Q25" s="482"/>
      <c r="R25" s="482"/>
      <c r="S25" s="482"/>
      <c r="T25" s="483"/>
      <c r="U25" s="483"/>
      <c r="V25" s="484"/>
      <c r="W25" s="484"/>
      <c r="X25" s="484"/>
    </row>
    <row r="26" spans="1:24" s="111" customFormat="1" ht="55" customHeight="1" thickBot="1">
      <c r="A26" s="473"/>
      <c r="B26" s="480"/>
      <c r="C26" s="446" t="s">
        <v>235</v>
      </c>
      <c r="D26" s="448" t="s">
        <v>236</v>
      </c>
      <c r="E26" s="448" t="s">
        <v>237</v>
      </c>
      <c r="F26" s="449" t="s">
        <v>238</v>
      </c>
      <c r="G26" s="449" t="s">
        <v>239</v>
      </c>
      <c r="H26" s="449" t="s">
        <v>240</v>
      </c>
      <c r="I26" s="449" t="s">
        <v>242</v>
      </c>
      <c r="J26" s="449" t="s">
        <v>243</v>
      </c>
      <c r="K26" s="450" t="s">
        <v>241</v>
      </c>
      <c r="L26" s="485"/>
      <c r="M26" s="473"/>
      <c r="N26" s="481"/>
      <c r="O26" s="482"/>
      <c r="P26" s="482"/>
      <c r="Q26" s="482"/>
      <c r="R26" s="482"/>
      <c r="S26" s="482"/>
      <c r="T26" s="483"/>
      <c r="U26" s="483"/>
      <c r="V26" s="484"/>
      <c r="W26" s="484"/>
      <c r="X26" s="484"/>
    </row>
    <row r="27" spans="1:24" s="111" customFormat="1" ht="30" customHeight="1">
      <c r="A27" s="473"/>
      <c r="B27" s="480"/>
      <c r="C27" s="103">
        <f>K20</f>
        <v>1</v>
      </c>
      <c r="D27" s="94">
        <f>I20</f>
        <v>108</v>
      </c>
      <c r="E27" s="94">
        <f>D27*C27</f>
        <v>108</v>
      </c>
      <c r="F27" s="110">
        <f>F20</f>
        <v>0.7</v>
      </c>
      <c r="G27" s="103">
        <f>E27*F27</f>
        <v>75.599999999999994</v>
      </c>
      <c r="H27" s="486">
        <f>(C20*0.75/E27)</f>
        <v>1.4326523120830317</v>
      </c>
      <c r="I27" s="486">
        <f>((C20*E20)/E27)+H27</f>
        <v>7.1632615604151582</v>
      </c>
      <c r="J27" s="185" t="str">
        <f>U27</f>
        <v>DEGRADATION OF BATTERIES</v>
      </c>
      <c r="K27" s="185" t="str">
        <f>W27</f>
        <v>DEGRADATION OF BATTERIES</v>
      </c>
      <c r="L27" s="473"/>
      <c r="M27" s="473"/>
      <c r="N27" s="481"/>
      <c r="O27" s="482"/>
      <c r="P27" s="482"/>
      <c r="Q27" s="482"/>
      <c r="R27" s="482"/>
      <c r="S27" s="482"/>
      <c r="T27" s="103">
        <f>IF(AND('Inclination angle'!O12=2,'Inclination angle'!E16=0,'Inclination angle'!E17=0,'Inclination angle'!E27=0),"NO APLICA",ROUND(G27/((PV!E22*PV!E15*AVERAGE('Inclination angle'!G16:G18)-C20*0.8)),0))</f>
        <v>-1</v>
      </c>
      <c r="U27" s="484" t="str">
        <f>IF(T27&lt;1,"DEGRADATION OF BATTERIES",T27)</f>
        <v>DEGRADATION OF BATTERIES</v>
      </c>
      <c r="V27" s="103">
        <f>IF(AND('Inclination angle'!O12=2,'Inclination angle'!E19=0,'Inclination angle'!E20=0,'Inclination angle'!E21=0,'Inclination angle'!E22=0,'Inclination angle'!E23=0),"NO APLICA",ROUND(G27/((PV!E22*PV!E15*AVERAGE('Inclination angle'!G21:G23)-C20)),0))</f>
        <v>0</v>
      </c>
      <c r="W27" s="484" t="str">
        <f>IF(V27&lt;1,"DEGRADATION OF BATTERIES",V27)</f>
        <v>DEGRADATION OF BATTERIES</v>
      </c>
      <c r="X27" s="484"/>
    </row>
    <row r="28" spans="1:24" s="111" customFormat="1" ht="18.75" customHeight="1">
      <c r="A28" s="473"/>
      <c r="B28" s="480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81"/>
      <c r="O28" s="482"/>
      <c r="P28" s="482"/>
      <c r="Q28" s="482"/>
      <c r="R28" s="482"/>
      <c r="S28" s="482"/>
      <c r="T28" s="483"/>
      <c r="U28" s="483"/>
      <c r="V28" s="484"/>
      <c r="W28" s="484"/>
      <c r="X28" s="484"/>
    </row>
    <row r="29" spans="1:24" ht="13" thickBot="1">
      <c r="A29" s="324"/>
      <c r="B29" s="458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60"/>
      <c r="O29" s="422"/>
      <c r="P29" s="422"/>
      <c r="Q29" s="422"/>
      <c r="R29" s="422"/>
      <c r="S29" s="422"/>
      <c r="T29" s="462"/>
      <c r="U29" s="462"/>
      <c r="V29" s="463"/>
      <c r="W29" s="463"/>
      <c r="X29" s="463"/>
    </row>
    <row r="30" spans="1:24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62"/>
      <c r="U30" s="462"/>
      <c r="V30" s="463"/>
      <c r="W30" s="463"/>
      <c r="X30" s="463"/>
    </row>
    <row r="31" spans="1:24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62"/>
      <c r="U31" s="462"/>
      <c r="V31" s="463"/>
      <c r="W31" s="463"/>
      <c r="X31" s="463"/>
    </row>
    <row r="32" spans="1:24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62"/>
      <c r="U32" s="462"/>
      <c r="V32" s="463"/>
      <c r="W32" s="463"/>
      <c r="X32" s="463"/>
    </row>
    <row r="33" spans="1:24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62"/>
      <c r="U33" s="462"/>
      <c r="V33" s="463"/>
      <c r="W33" s="463"/>
      <c r="X33" s="463"/>
    </row>
    <row r="34" spans="1:24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62"/>
      <c r="U34" s="462"/>
      <c r="V34" s="463"/>
      <c r="W34" s="463"/>
      <c r="X34" s="463"/>
    </row>
    <row r="35" spans="1:24">
      <c r="A35" s="422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62"/>
      <c r="U35" s="462"/>
      <c r="V35" s="463"/>
      <c r="W35" s="463"/>
      <c r="X35" s="463"/>
    </row>
    <row r="36" spans="1:24">
      <c r="A36" s="422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62"/>
      <c r="U36" s="462"/>
      <c r="V36" s="463"/>
      <c r="W36" s="463"/>
      <c r="X36" s="463"/>
    </row>
    <row r="37" spans="1:24">
      <c r="A37" s="422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62"/>
      <c r="U37" s="462"/>
      <c r="V37" s="463"/>
      <c r="W37" s="463"/>
      <c r="X37" s="463"/>
    </row>
    <row r="38" spans="1:24">
      <c r="A38" s="422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62"/>
      <c r="U38" s="462"/>
      <c r="V38" s="463"/>
      <c r="W38" s="463"/>
      <c r="X38" s="463"/>
    </row>
    <row r="39" spans="1:24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62"/>
      <c r="U39" s="462"/>
      <c r="V39" s="463"/>
      <c r="W39" s="463"/>
      <c r="X39" s="463"/>
    </row>
    <row r="40" spans="1:24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62"/>
      <c r="U40" s="462"/>
      <c r="V40" s="463"/>
      <c r="W40" s="463"/>
      <c r="X40" s="463"/>
    </row>
    <row r="41" spans="1:24">
      <c r="A41" s="422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62"/>
      <c r="U41" s="462"/>
      <c r="V41" s="463"/>
      <c r="W41" s="463"/>
      <c r="X41" s="463"/>
    </row>
    <row r="42" spans="1:24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62"/>
      <c r="U42" s="462"/>
      <c r="V42" s="463"/>
      <c r="W42" s="463"/>
      <c r="X42" s="463"/>
    </row>
    <row r="43" spans="1:24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62"/>
      <c r="U43" s="462"/>
      <c r="V43" s="463"/>
      <c r="W43" s="463"/>
      <c r="X43" s="463"/>
    </row>
    <row r="44" spans="1:24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62"/>
      <c r="U44" s="462"/>
      <c r="V44" s="463"/>
      <c r="W44" s="463"/>
      <c r="X44" s="463"/>
    </row>
    <row r="45" spans="1:24">
      <c r="A45" s="422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62"/>
      <c r="U45" s="462"/>
      <c r="V45" s="463"/>
      <c r="W45" s="463"/>
      <c r="X45" s="463"/>
    </row>
    <row r="46" spans="1:24">
      <c r="A46" s="422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62"/>
      <c r="U46" s="462"/>
      <c r="V46" s="463"/>
      <c r="W46" s="463"/>
      <c r="X46" s="463"/>
    </row>
    <row r="47" spans="1:24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62"/>
      <c r="U47" s="462"/>
      <c r="V47" s="463"/>
      <c r="W47" s="463"/>
      <c r="X47" s="463"/>
    </row>
    <row r="48" spans="1:24">
      <c r="A48" s="463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2"/>
      <c r="U48" s="462"/>
      <c r="V48" s="463"/>
      <c r="W48" s="463"/>
      <c r="X48" s="463"/>
    </row>
    <row r="49" spans="1:24">
      <c r="A49" s="463"/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2"/>
      <c r="U49" s="462"/>
      <c r="V49" s="463"/>
      <c r="W49" s="463"/>
      <c r="X49" s="463"/>
    </row>
    <row r="50" spans="1:24">
      <c r="A50" s="463"/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2"/>
      <c r="U50" s="462"/>
      <c r="V50" s="463"/>
      <c r="W50" s="463"/>
      <c r="X50" s="463"/>
    </row>
    <row r="51" spans="1:24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2"/>
      <c r="U51" s="462"/>
      <c r="V51" s="463"/>
      <c r="W51" s="463"/>
      <c r="X51" s="463"/>
    </row>
    <row r="52" spans="1:24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2"/>
      <c r="U52" s="462"/>
      <c r="V52" s="463"/>
      <c r="W52" s="463"/>
      <c r="X52" s="463"/>
    </row>
    <row r="53" spans="1:24">
      <c r="A53" s="463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2"/>
      <c r="U53" s="462"/>
      <c r="V53" s="463"/>
      <c r="W53" s="463"/>
      <c r="X53" s="463"/>
    </row>
    <row r="54" spans="1:24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2"/>
      <c r="U54" s="462"/>
      <c r="V54" s="463"/>
      <c r="W54" s="463"/>
      <c r="X54" s="463"/>
    </row>
    <row r="55" spans="1:24">
      <c r="A55" s="463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2"/>
      <c r="U55" s="462"/>
      <c r="V55" s="463"/>
      <c r="W55" s="463"/>
      <c r="X55" s="463"/>
    </row>
    <row r="56" spans="1:24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2"/>
      <c r="U56" s="462"/>
      <c r="V56" s="463"/>
      <c r="W56" s="463"/>
      <c r="X56" s="463"/>
    </row>
    <row r="57" spans="1:24">
      <c r="A57" s="463"/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2"/>
      <c r="U57" s="462"/>
      <c r="V57" s="463"/>
      <c r="W57" s="463"/>
      <c r="X57" s="463"/>
    </row>
    <row r="58" spans="1:24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2"/>
      <c r="U58" s="462"/>
      <c r="V58" s="463"/>
      <c r="W58" s="463"/>
      <c r="X58" s="463"/>
    </row>
    <row r="59" spans="1:24">
      <c r="A59" s="463"/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2"/>
      <c r="U59" s="462"/>
      <c r="V59" s="463"/>
      <c r="W59" s="463"/>
      <c r="X59" s="463"/>
    </row>
    <row r="60" spans="1:24">
      <c r="A60" s="463"/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2"/>
      <c r="U60" s="462"/>
      <c r="V60" s="463"/>
      <c r="W60" s="463"/>
      <c r="X60" s="463"/>
    </row>
    <row r="61" spans="1:24">
      <c r="A61" s="463"/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2"/>
      <c r="U61" s="462"/>
      <c r="V61" s="463"/>
      <c r="W61" s="463"/>
      <c r="X61" s="463"/>
    </row>
    <row r="62" spans="1:24">
      <c r="A62" s="463"/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2"/>
      <c r="U62" s="462"/>
      <c r="V62" s="463"/>
      <c r="W62" s="463"/>
      <c r="X62" s="463"/>
    </row>
    <row r="63" spans="1:24">
      <c r="A63" s="463"/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2"/>
      <c r="U63" s="462"/>
      <c r="V63" s="463"/>
      <c r="W63" s="463"/>
      <c r="X63" s="463"/>
    </row>
    <row r="64" spans="1:24">
      <c r="A64" s="463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2"/>
      <c r="U64" s="462"/>
      <c r="V64" s="463"/>
      <c r="W64" s="463"/>
      <c r="X64" s="463"/>
    </row>
    <row r="65" spans="1:24">
      <c r="A65" s="463"/>
      <c r="B65" s="463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2"/>
      <c r="U65" s="462"/>
      <c r="V65" s="463"/>
      <c r="W65" s="463"/>
      <c r="X65" s="463"/>
    </row>
    <row r="66" spans="1:24">
      <c r="A66" s="463"/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2"/>
      <c r="U66" s="462"/>
      <c r="V66" s="463"/>
      <c r="W66" s="463"/>
      <c r="X66" s="463"/>
    </row>
    <row r="67" spans="1:24">
      <c r="A67" s="463"/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2"/>
      <c r="U67" s="462"/>
      <c r="V67" s="463"/>
      <c r="W67" s="463"/>
      <c r="X67" s="463"/>
    </row>
    <row r="68" spans="1:24">
      <c r="A68" s="463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2"/>
      <c r="U68" s="462"/>
      <c r="V68" s="463"/>
      <c r="W68" s="463"/>
      <c r="X68" s="463"/>
    </row>
    <row r="69" spans="1:24">
      <c r="A69" s="463"/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2"/>
      <c r="U69" s="462"/>
      <c r="V69" s="463"/>
      <c r="W69" s="463"/>
      <c r="X69" s="463"/>
    </row>
    <row r="70" spans="1:24">
      <c r="A70" s="463"/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2"/>
      <c r="U70" s="462"/>
      <c r="V70" s="463"/>
      <c r="W70" s="463"/>
      <c r="X70" s="463"/>
    </row>
    <row r="71" spans="1:24">
      <c r="A71" s="463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2"/>
      <c r="U71" s="462"/>
      <c r="V71" s="463"/>
      <c r="W71" s="463"/>
      <c r="X71" s="463"/>
    </row>
    <row r="72" spans="1:24">
      <c r="A72" s="463"/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2"/>
      <c r="U72" s="462"/>
      <c r="V72" s="463"/>
      <c r="W72" s="463"/>
      <c r="X72" s="463"/>
    </row>
    <row r="73" spans="1:24">
      <c r="A73" s="463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2"/>
      <c r="U73" s="462"/>
      <c r="V73" s="463"/>
      <c r="W73" s="463"/>
      <c r="X73" s="463"/>
    </row>
    <row r="74" spans="1:24">
      <c r="A74" s="463"/>
      <c r="B74" s="463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2"/>
      <c r="U74" s="462"/>
      <c r="V74" s="463"/>
      <c r="W74" s="463"/>
      <c r="X74" s="463"/>
    </row>
    <row r="75" spans="1:24">
      <c r="A75" s="463"/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2"/>
      <c r="U75" s="462"/>
      <c r="V75" s="463"/>
      <c r="W75" s="463"/>
      <c r="X75" s="463"/>
    </row>
    <row r="76" spans="1:24">
      <c r="A76" s="463"/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2"/>
      <c r="U76" s="462"/>
      <c r="V76" s="463"/>
      <c r="W76" s="463"/>
      <c r="X76" s="463"/>
    </row>
    <row r="77" spans="1:24">
      <c r="A77" s="463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2"/>
      <c r="U77" s="462"/>
      <c r="V77" s="463"/>
      <c r="W77" s="463"/>
      <c r="X77" s="463"/>
    </row>
    <row r="78" spans="1:24">
      <c r="A78" s="463"/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2"/>
      <c r="U78" s="462"/>
      <c r="V78" s="463"/>
      <c r="W78" s="463"/>
      <c r="X78" s="463"/>
    </row>
    <row r="79" spans="1:24">
      <c r="A79" s="463"/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2"/>
      <c r="U79" s="462"/>
      <c r="V79" s="463"/>
      <c r="W79" s="463"/>
      <c r="X79" s="463"/>
    </row>
    <row r="80" spans="1:24">
      <c r="A80" s="463"/>
      <c r="B80" s="463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2"/>
      <c r="U80" s="462"/>
      <c r="V80" s="463"/>
      <c r="W80" s="463"/>
      <c r="X80" s="463"/>
    </row>
    <row r="81" spans="1:24">
      <c r="A81" s="463"/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2"/>
      <c r="U81" s="462"/>
      <c r="V81" s="463"/>
      <c r="W81" s="463"/>
      <c r="X81" s="463"/>
    </row>
    <row r="82" spans="1:24">
      <c r="A82" s="463"/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2"/>
      <c r="U82" s="462"/>
      <c r="V82" s="463"/>
      <c r="W82" s="463"/>
      <c r="X82" s="463"/>
    </row>
    <row r="83" spans="1:24">
      <c r="A83" s="463"/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2"/>
      <c r="U83" s="462"/>
      <c r="V83" s="463"/>
      <c r="W83" s="463"/>
      <c r="X83" s="463"/>
    </row>
    <row r="84" spans="1:24">
      <c r="A84" s="463"/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2"/>
      <c r="U84" s="462"/>
      <c r="V84" s="463"/>
      <c r="W84" s="463"/>
      <c r="X84" s="463"/>
    </row>
    <row r="85" spans="1:24">
      <c r="A85" s="463"/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2"/>
      <c r="U85" s="462"/>
      <c r="V85" s="463"/>
      <c r="W85" s="463"/>
      <c r="X85" s="463"/>
    </row>
    <row r="86" spans="1:24">
      <c r="A86" s="463"/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2"/>
      <c r="U86" s="462"/>
      <c r="V86" s="463"/>
      <c r="W86" s="463"/>
      <c r="X86" s="463"/>
    </row>
    <row r="87" spans="1:24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2"/>
      <c r="U87" s="462"/>
      <c r="V87" s="463"/>
      <c r="W87" s="463"/>
      <c r="X87" s="463"/>
    </row>
    <row r="88" spans="1:24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2"/>
      <c r="U88" s="462"/>
      <c r="V88" s="463"/>
      <c r="W88" s="463"/>
      <c r="X88" s="463"/>
    </row>
    <row r="89" spans="1:24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2"/>
      <c r="U89" s="462"/>
      <c r="V89" s="463"/>
      <c r="W89" s="463"/>
      <c r="X89" s="463"/>
    </row>
    <row r="90" spans="1:24">
      <c r="A90" s="463"/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2"/>
      <c r="U90" s="462"/>
      <c r="V90" s="463"/>
      <c r="W90" s="463"/>
      <c r="X90" s="463"/>
    </row>
    <row r="91" spans="1:24">
      <c r="A91" s="463"/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2"/>
      <c r="U91" s="462"/>
      <c r="V91" s="463"/>
      <c r="W91" s="463"/>
      <c r="X91" s="463"/>
    </row>
    <row r="92" spans="1:24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2"/>
      <c r="U92" s="462"/>
      <c r="V92" s="463"/>
      <c r="W92" s="463"/>
      <c r="X92" s="463"/>
    </row>
    <row r="93" spans="1:24">
      <c r="A93" s="463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2"/>
      <c r="U93" s="462"/>
      <c r="V93" s="463"/>
      <c r="W93" s="463"/>
      <c r="X93" s="463"/>
    </row>
    <row r="94" spans="1:24">
      <c r="A94" s="463"/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2"/>
      <c r="U94" s="462"/>
      <c r="V94" s="463"/>
      <c r="W94" s="463"/>
      <c r="X94" s="463"/>
    </row>
    <row r="95" spans="1:24">
      <c r="A95" s="463"/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2"/>
      <c r="U95" s="462"/>
      <c r="V95" s="463"/>
      <c r="W95" s="463"/>
      <c r="X95" s="463"/>
    </row>
    <row r="96" spans="1:24">
      <c r="A96" s="463"/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2"/>
      <c r="U96" s="462"/>
      <c r="V96" s="463"/>
      <c r="W96" s="463"/>
      <c r="X96" s="463"/>
    </row>
    <row r="97" spans="1:24">
      <c r="A97" s="463"/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2"/>
      <c r="U97" s="462"/>
      <c r="V97" s="463"/>
      <c r="W97" s="463"/>
      <c r="X97" s="463"/>
    </row>
    <row r="98" spans="1:24">
      <c r="A98" s="463"/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2"/>
      <c r="U98" s="462"/>
      <c r="V98" s="463"/>
      <c r="W98" s="463"/>
      <c r="X98" s="463"/>
    </row>
    <row r="99" spans="1:24">
      <c r="A99" s="463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2"/>
      <c r="U99" s="462"/>
      <c r="V99" s="463"/>
      <c r="W99" s="463"/>
      <c r="X99" s="463"/>
    </row>
    <row r="100" spans="1:24">
      <c r="A100" s="463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2"/>
      <c r="U100" s="462"/>
      <c r="V100" s="463"/>
      <c r="W100" s="463"/>
      <c r="X100" s="463"/>
    </row>
    <row r="101" spans="1:24">
      <c r="A101" s="463"/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2"/>
      <c r="U101" s="462"/>
      <c r="V101" s="463"/>
      <c r="W101" s="463"/>
      <c r="X101" s="463"/>
    </row>
    <row r="102" spans="1:24">
      <c r="A102" s="463"/>
      <c r="B102" s="463"/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2"/>
      <c r="U102" s="462"/>
      <c r="V102" s="463"/>
      <c r="W102" s="463"/>
      <c r="X102" s="463"/>
    </row>
    <row r="103" spans="1:24">
      <c r="A103" s="463"/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2"/>
      <c r="U103" s="462"/>
      <c r="V103" s="463"/>
      <c r="W103" s="463"/>
      <c r="X103" s="463"/>
    </row>
    <row r="104" spans="1:24">
      <c r="A104" s="463"/>
      <c r="B104" s="463"/>
      <c r="C104" s="463"/>
      <c r="D104" s="463"/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2"/>
      <c r="U104" s="462"/>
      <c r="V104" s="463"/>
      <c r="W104" s="463"/>
      <c r="X104" s="463"/>
    </row>
    <row r="105" spans="1:24">
      <c r="A105" s="463"/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2"/>
      <c r="U105" s="462"/>
      <c r="V105" s="463"/>
      <c r="W105" s="463"/>
      <c r="X105" s="463"/>
    </row>
    <row r="106" spans="1:24">
      <c r="A106" s="463"/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2"/>
      <c r="U106" s="462"/>
      <c r="V106" s="463"/>
      <c r="W106" s="463"/>
      <c r="X106" s="463"/>
    </row>
    <row r="107" spans="1:24">
      <c r="A107" s="463"/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2"/>
      <c r="U107" s="462"/>
      <c r="V107" s="463"/>
      <c r="W107" s="463"/>
      <c r="X107" s="463"/>
    </row>
    <row r="108" spans="1:24">
      <c r="A108" s="463"/>
      <c r="B108" s="463"/>
      <c r="C108" s="463"/>
      <c r="D108" s="463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2"/>
      <c r="U108" s="462"/>
      <c r="V108" s="463"/>
      <c r="W108" s="463"/>
      <c r="X108" s="463"/>
    </row>
    <row r="109" spans="1:24">
      <c r="A109" s="463"/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2"/>
      <c r="U109" s="462"/>
      <c r="V109" s="463"/>
      <c r="W109" s="463"/>
      <c r="X109" s="463"/>
    </row>
    <row r="110" spans="1:24">
      <c r="A110" s="463"/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2"/>
      <c r="U110" s="462"/>
      <c r="V110" s="463"/>
      <c r="W110" s="463"/>
      <c r="X110" s="463"/>
    </row>
    <row r="111" spans="1:24">
      <c r="A111" s="463"/>
      <c r="B111" s="463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2"/>
      <c r="U111" s="462"/>
      <c r="V111" s="463"/>
      <c r="W111" s="463"/>
      <c r="X111" s="463"/>
    </row>
    <row r="112" spans="1:24">
      <c r="A112" s="463"/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2"/>
      <c r="U112" s="462"/>
      <c r="V112" s="463"/>
      <c r="W112" s="463"/>
      <c r="X112" s="463"/>
    </row>
    <row r="113" spans="1:24">
      <c r="A113" s="463"/>
      <c r="B113" s="463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2"/>
      <c r="U113" s="462"/>
      <c r="V113" s="463"/>
      <c r="W113" s="463"/>
      <c r="X113" s="463"/>
    </row>
    <row r="114" spans="1:24">
      <c r="A114" s="463"/>
      <c r="B114" s="463"/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2"/>
      <c r="U114" s="462"/>
      <c r="V114" s="463"/>
      <c r="W114" s="463"/>
      <c r="X114" s="463"/>
    </row>
    <row r="115" spans="1:24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2"/>
      <c r="U115" s="462"/>
      <c r="V115" s="463"/>
      <c r="W115" s="463"/>
      <c r="X115" s="463"/>
    </row>
    <row r="116" spans="1:24">
      <c r="A116" s="463"/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2"/>
      <c r="U116" s="462"/>
      <c r="V116" s="463"/>
      <c r="W116" s="463"/>
      <c r="X116" s="463"/>
    </row>
    <row r="117" spans="1:24">
      <c r="A117" s="463"/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2"/>
      <c r="U117" s="462"/>
      <c r="V117" s="463"/>
      <c r="W117" s="463"/>
      <c r="X117" s="463"/>
    </row>
    <row r="118" spans="1:24">
      <c r="A118" s="463"/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2"/>
      <c r="U118" s="462"/>
      <c r="V118" s="463"/>
      <c r="W118" s="463"/>
      <c r="X118" s="463"/>
    </row>
    <row r="119" spans="1:24">
      <c r="A119" s="463"/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2"/>
      <c r="U119" s="462"/>
      <c r="V119" s="463"/>
      <c r="W119" s="463"/>
      <c r="X119" s="463"/>
    </row>
    <row r="120" spans="1:24">
      <c r="A120" s="463"/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2"/>
      <c r="U120" s="462"/>
      <c r="V120" s="463"/>
      <c r="W120" s="463"/>
      <c r="X120" s="463"/>
    </row>
    <row r="121" spans="1:24">
      <c r="A121" s="463"/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2"/>
      <c r="U121" s="462"/>
      <c r="V121" s="463"/>
      <c r="W121" s="463"/>
      <c r="X121" s="463"/>
    </row>
    <row r="122" spans="1:24">
      <c r="A122" s="463"/>
      <c r="B122" s="463"/>
      <c r="C122" s="463"/>
      <c r="D122" s="463"/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2"/>
      <c r="U122" s="462"/>
      <c r="V122" s="463"/>
      <c r="W122" s="463"/>
      <c r="X122" s="463"/>
    </row>
    <row r="123" spans="1:24">
      <c r="A123" s="463"/>
      <c r="B123" s="463"/>
      <c r="C123" s="463"/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2"/>
      <c r="U123" s="462"/>
      <c r="V123" s="463"/>
      <c r="W123" s="463"/>
      <c r="X123" s="463"/>
    </row>
    <row r="124" spans="1:24">
      <c r="A124" s="463"/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2"/>
      <c r="U124" s="462"/>
      <c r="V124" s="463"/>
      <c r="W124" s="463"/>
      <c r="X124" s="463"/>
    </row>
    <row r="125" spans="1:24">
      <c r="A125" s="463"/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2"/>
      <c r="U125" s="462"/>
      <c r="V125" s="463"/>
      <c r="W125" s="463"/>
      <c r="X125" s="463"/>
    </row>
    <row r="126" spans="1:24">
      <c r="A126" s="463"/>
      <c r="B126" s="463"/>
      <c r="C126" s="463"/>
      <c r="D126" s="463"/>
      <c r="E126" s="463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2"/>
      <c r="U126" s="462"/>
      <c r="V126" s="463"/>
      <c r="W126" s="463"/>
      <c r="X126" s="463"/>
    </row>
    <row r="127" spans="1:24">
      <c r="A127" s="463"/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2"/>
      <c r="U127" s="462"/>
      <c r="V127" s="463"/>
      <c r="W127" s="463"/>
      <c r="X127" s="463"/>
    </row>
    <row r="128" spans="1:24">
      <c r="A128" s="463"/>
      <c r="B128" s="463"/>
      <c r="C128" s="463"/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2"/>
      <c r="U128" s="462"/>
      <c r="V128" s="463"/>
      <c r="W128" s="463"/>
      <c r="X128" s="463"/>
    </row>
    <row r="129" spans="1:24">
      <c r="A129" s="463"/>
      <c r="B129" s="463"/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2"/>
      <c r="U129" s="462"/>
      <c r="V129" s="463"/>
      <c r="W129" s="463"/>
      <c r="X129" s="463"/>
    </row>
    <row r="130" spans="1:24">
      <c r="A130" s="463"/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2"/>
      <c r="U130" s="462"/>
      <c r="V130" s="463"/>
      <c r="W130" s="463"/>
      <c r="X130" s="463"/>
    </row>
    <row r="131" spans="1:24">
      <c r="A131" s="463"/>
      <c r="B131" s="463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  <c r="Q131" s="463"/>
      <c r="R131" s="463"/>
      <c r="S131" s="463"/>
      <c r="T131" s="462"/>
      <c r="U131" s="462"/>
      <c r="V131" s="463"/>
      <c r="W131" s="463"/>
      <c r="X131" s="463"/>
    </row>
    <row r="132" spans="1:24">
      <c r="A132" s="463"/>
      <c r="B132" s="463"/>
      <c r="C132" s="463"/>
      <c r="D132" s="463"/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2"/>
      <c r="U132" s="462"/>
      <c r="V132" s="463"/>
      <c r="W132" s="463"/>
      <c r="X132" s="463"/>
    </row>
    <row r="133" spans="1:24">
      <c r="A133" s="463"/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2"/>
      <c r="U133" s="462"/>
      <c r="V133" s="463"/>
      <c r="W133" s="463"/>
      <c r="X133" s="463"/>
    </row>
    <row r="134" spans="1:24">
      <c r="A134" s="463"/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2"/>
      <c r="U134" s="462"/>
      <c r="V134" s="463"/>
      <c r="W134" s="463"/>
      <c r="X134" s="463"/>
    </row>
    <row r="135" spans="1:24">
      <c r="A135" s="463"/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3"/>
      <c r="T135" s="462"/>
      <c r="U135" s="462"/>
      <c r="V135" s="463"/>
      <c r="W135" s="463"/>
      <c r="X135" s="463"/>
    </row>
    <row r="136" spans="1:24">
      <c r="A136" s="463"/>
      <c r="B136" s="463"/>
      <c r="C136" s="463"/>
      <c r="D136" s="463"/>
      <c r="E136" s="463"/>
      <c r="F136" s="463"/>
      <c r="G136" s="463"/>
      <c r="H136" s="463"/>
      <c r="I136" s="463"/>
      <c r="J136" s="463"/>
      <c r="K136" s="463"/>
      <c r="L136" s="463"/>
      <c r="M136" s="463"/>
      <c r="N136" s="463"/>
      <c r="O136" s="463"/>
      <c r="P136" s="463"/>
      <c r="Q136" s="463"/>
      <c r="R136" s="463"/>
      <c r="S136" s="463"/>
      <c r="T136" s="462"/>
      <c r="U136" s="462"/>
      <c r="V136" s="463"/>
      <c r="W136" s="463"/>
      <c r="X136" s="463"/>
    </row>
    <row r="137" spans="1:24">
      <c r="A137" s="463"/>
      <c r="B137" s="463"/>
      <c r="C137" s="463"/>
      <c r="D137" s="463"/>
      <c r="E137" s="463"/>
      <c r="F137" s="463"/>
      <c r="G137" s="463"/>
      <c r="H137" s="463"/>
      <c r="I137" s="463"/>
      <c r="J137" s="463"/>
      <c r="K137" s="463"/>
      <c r="L137" s="463"/>
      <c r="M137" s="463"/>
      <c r="N137" s="463"/>
      <c r="O137" s="463"/>
      <c r="P137" s="463"/>
      <c r="Q137" s="463"/>
      <c r="R137" s="463"/>
      <c r="S137" s="463"/>
      <c r="T137" s="462"/>
      <c r="U137" s="462"/>
      <c r="V137" s="463"/>
      <c r="W137" s="463"/>
      <c r="X137" s="463"/>
    </row>
    <row r="138" spans="1:24">
      <c r="A138" s="463"/>
      <c r="B138" s="463"/>
      <c r="C138" s="463"/>
      <c r="D138" s="463"/>
      <c r="E138" s="463"/>
      <c r="F138" s="463"/>
      <c r="G138" s="463"/>
      <c r="H138" s="463"/>
      <c r="I138" s="463"/>
      <c r="J138" s="463"/>
      <c r="K138" s="463"/>
      <c r="L138" s="463"/>
      <c r="M138" s="463"/>
      <c r="N138" s="463"/>
      <c r="O138" s="463"/>
      <c r="P138" s="463"/>
      <c r="Q138" s="463"/>
      <c r="R138" s="463"/>
      <c r="S138" s="463"/>
      <c r="T138" s="462"/>
      <c r="U138" s="462"/>
      <c r="V138" s="463"/>
      <c r="W138" s="463"/>
      <c r="X138" s="463"/>
    </row>
    <row r="139" spans="1:24">
      <c r="A139" s="463"/>
      <c r="B139" s="463"/>
      <c r="C139" s="463"/>
      <c r="D139" s="463"/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2"/>
      <c r="U139" s="462"/>
      <c r="V139" s="463"/>
      <c r="W139" s="463"/>
      <c r="X139" s="463"/>
    </row>
    <row r="140" spans="1:24">
      <c r="A140" s="463"/>
      <c r="B140" s="463"/>
      <c r="C140" s="463"/>
      <c r="D140" s="463"/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  <c r="Q140" s="463"/>
      <c r="R140" s="463"/>
      <c r="S140" s="463"/>
      <c r="T140" s="462"/>
      <c r="U140" s="462"/>
      <c r="V140" s="463"/>
      <c r="W140" s="463"/>
      <c r="X140" s="463"/>
    </row>
    <row r="141" spans="1:24">
      <c r="A141" s="463"/>
      <c r="B141" s="463"/>
      <c r="C141" s="463"/>
      <c r="D141" s="463"/>
      <c r="E141" s="463"/>
      <c r="F141" s="463"/>
      <c r="G141" s="463"/>
      <c r="H141" s="463"/>
      <c r="I141" s="463"/>
      <c r="J141" s="463"/>
      <c r="K141" s="463"/>
      <c r="L141" s="463"/>
      <c r="M141" s="463"/>
      <c r="N141" s="463"/>
      <c r="O141" s="463"/>
      <c r="P141" s="463"/>
      <c r="Q141" s="463"/>
      <c r="R141" s="463"/>
      <c r="S141" s="463"/>
      <c r="T141" s="462"/>
      <c r="U141" s="462"/>
      <c r="V141" s="463"/>
      <c r="W141" s="463"/>
      <c r="X141" s="463"/>
    </row>
    <row r="142" spans="1:24">
      <c r="A142" s="463"/>
      <c r="B142" s="463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2"/>
      <c r="U142" s="462"/>
      <c r="V142" s="463"/>
      <c r="W142" s="463"/>
      <c r="X142" s="463"/>
    </row>
    <row r="143" spans="1:24">
      <c r="A143" s="463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3"/>
      <c r="Q143" s="463"/>
      <c r="R143" s="463"/>
      <c r="S143" s="463"/>
      <c r="T143" s="462"/>
      <c r="U143" s="462"/>
      <c r="V143" s="463"/>
      <c r="W143" s="463"/>
      <c r="X143" s="463"/>
    </row>
    <row r="144" spans="1:24">
      <c r="A144" s="463"/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2"/>
      <c r="U144" s="462"/>
      <c r="V144" s="463"/>
      <c r="W144" s="463"/>
      <c r="X144" s="463"/>
    </row>
    <row r="145" spans="1:24">
      <c r="A145" s="463"/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2"/>
      <c r="U145" s="462"/>
      <c r="V145" s="463"/>
      <c r="W145" s="463"/>
      <c r="X145" s="463"/>
    </row>
    <row r="146" spans="1:24">
      <c r="A146" s="463"/>
      <c r="B146" s="463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63"/>
      <c r="N146" s="463"/>
      <c r="O146" s="463"/>
      <c r="P146" s="463"/>
      <c r="Q146" s="463"/>
      <c r="R146" s="463"/>
      <c r="S146" s="463"/>
      <c r="T146" s="462"/>
      <c r="U146" s="462"/>
      <c r="V146" s="463"/>
      <c r="W146" s="463"/>
      <c r="X146" s="463"/>
    </row>
    <row r="147" spans="1:24">
      <c r="A147" s="463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3"/>
      <c r="Q147" s="463"/>
      <c r="R147" s="463"/>
      <c r="S147" s="463"/>
      <c r="T147" s="462"/>
      <c r="U147" s="462"/>
      <c r="V147" s="463"/>
      <c r="W147" s="463"/>
      <c r="X147" s="463"/>
    </row>
    <row r="148" spans="1:24">
      <c r="A148" s="463"/>
      <c r="B148" s="463"/>
      <c r="C148" s="463"/>
      <c r="D148" s="463"/>
      <c r="E148" s="463"/>
      <c r="F148" s="463"/>
      <c r="G148" s="463"/>
      <c r="H148" s="463"/>
      <c r="I148" s="463"/>
      <c r="J148" s="463"/>
      <c r="K148" s="463"/>
      <c r="L148" s="463"/>
      <c r="M148" s="463"/>
      <c r="N148" s="463"/>
      <c r="O148" s="463"/>
      <c r="P148" s="463"/>
      <c r="Q148" s="463"/>
      <c r="R148" s="463"/>
      <c r="S148" s="463"/>
      <c r="T148" s="462"/>
      <c r="U148" s="462"/>
      <c r="V148" s="463"/>
      <c r="W148" s="463"/>
      <c r="X148" s="463"/>
    </row>
    <row r="149" spans="1:24">
      <c r="A149" s="463"/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3"/>
      <c r="Q149" s="463"/>
      <c r="R149" s="463"/>
      <c r="S149" s="463"/>
      <c r="T149" s="462"/>
      <c r="U149" s="462"/>
      <c r="V149" s="463"/>
      <c r="W149" s="463"/>
      <c r="X149" s="463"/>
    </row>
    <row r="150" spans="1:24">
      <c r="A150" s="463"/>
      <c r="B150" s="463"/>
      <c r="C150" s="463"/>
      <c r="D150" s="463"/>
      <c r="E150" s="463"/>
      <c r="F150" s="463"/>
      <c r="G150" s="463"/>
      <c r="H150" s="463"/>
      <c r="I150" s="463"/>
      <c r="J150" s="463"/>
      <c r="K150" s="463"/>
      <c r="L150" s="463"/>
      <c r="M150" s="463"/>
      <c r="N150" s="463"/>
      <c r="O150" s="463"/>
      <c r="P150" s="463"/>
      <c r="Q150" s="463"/>
      <c r="R150" s="463"/>
      <c r="S150" s="463"/>
      <c r="T150" s="462"/>
      <c r="U150" s="462"/>
      <c r="V150" s="463"/>
      <c r="W150" s="463"/>
      <c r="X150" s="463"/>
    </row>
    <row r="151" spans="1:24">
      <c r="A151" s="463"/>
      <c r="B151" s="463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3"/>
      <c r="N151" s="463"/>
      <c r="O151" s="463"/>
      <c r="P151" s="463"/>
      <c r="Q151" s="463"/>
      <c r="R151" s="463"/>
      <c r="S151" s="463"/>
      <c r="T151" s="462"/>
      <c r="U151" s="462"/>
      <c r="V151" s="463"/>
      <c r="W151" s="463"/>
      <c r="X151" s="463"/>
    </row>
    <row r="152" spans="1:24">
      <c r="A152" s="463"/>
      <c r="B152" s="463"/>
      <c r="C152" s="463"/>
      <c r="D152" s="463"/>
      <c r="E152" s="463"/>
      <c r="F152" s="463"/>
      <c r="G152" s="463"/>
      <c r="H152" s="463"/>
      <c r="I152" s="463"/>
      <c r="J152" s="463"/>
      <c r="K152" s="463"/>
      <c r="L152" s="463"/>
      <c r="M152" s="463"/>
      <c r="N152" s="463"/>
      <c r="O152" s="463"/>
      <c r="P152" s="463"/>
      <c r="Q152" s="463"/>
      <c r="R152" s="463"/>
      <c r="S152" s="463"/>
      <c r="T152" s="462"/>
      <c r="U152" s="462"/>
      <c r="V152" s="463"/>
      <c r="W152" s="463"/>
      <c r="X152" s="463"/>
    </row>
    <row r="153" spans="1:24">
      <c r="A153" s="463"/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2"/>
      <c r="U153" s="462"/>
      <c r="V153" s="463"/>
      <c r="W153" s="463"/>
      <c r="X153" s="463"/>
    </row>
    <row r="154" spans="1:24">
      <c r="A154" s="463"/>
      <c r="B154" s="463"/>
      <c r="C154" s="463"/>
      <c r="D154" s="463"/>
      <c r="E154" s="463"/>
      <c r="F154" s="463"/>
      <c r="G154" s="463"/>
      <c r="H154" s="463"/>
      <c r="I154" s="463"/>
      <c r="J154" s="463"/>
      <c r="K154" s="463"/>
      <c r="L154" s="463"/>
      <c r="M154" s="463"/>
      <c r="N154" s="463"/>
      <c r="O154" s="463"/>
      <c r="P154" s="463"/>
      <c r="Q154" s="463"/>
      <c r="R154" s="463"/>
      <c r="S154" s="463"/>
      <c r="T154" s="462"/>
      <c r="U154" s="462"/>
      <c r="V154" s="463"/>
      <c r="W154" s="463"/>
      <c r="X154" s="463"/>
    </row>
    <row r="155" spans="1:24">
      <c r="A155" s="463"/>
      <c r="B155" s="463"/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3"/>
      <c r="N155" s="463"/>
      <c r="O155" s="463"/>
      <c r="P155" s="463"/>
      <c r="Q155" s="463"/>
      <c r="R155" s="463"/>
      <c r="S155" s="463"/>
      <c r="T155" s="462"/>
      <c r="U155" s="462"/>
      <c r="V155" s="463"/>
      <c r="W155" s="463"/>
      <c r="X155" s="463"/>
    </row>
    <row r="156" spans="1:24">
      <c r="A156" s="463"/>
      <c r="B156" s="463"/>
      <c r="C156" s="463"/>
      <c r="D156" s="463"/>
      <c r="E156" s="463"/>
      <c r="F156" s="463"/>
      <c r="G156" s="463"/>
      <c r="H156" s="463"/>
      <c r="I156" s="463"/>
      <c r="J156" s="463"/>
      <c r="K156" s="463"/>
      <c r="L156" s="463"/>
      <c r="M156" s="463"/>
      <c r="N156" s="463"/>
      <c r="O156" s="463"/>
      <c r="P156" s="463"/>
      <c r="Q156" s="463"/>
      <c r="R156" s="463"/>
      <c r="S156" s="463"/>
      <c r="T156" s="462"/>
      <c r="U156" s="462"/>
      <c r="V156" s="463"/>
      <c r="W156" s="463"/>
      <c r="X156" s="463"/>
    </row>
    <row r="157" spans="1:24">
      <c r="A157" s="463"/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3"/>
      <c r="M157" s="463"/>
      <c r="N157" s="463"/>
      <c r="O157" s="463"/>
      <c r="P157" s="463"/>
      <c r="Q157" s="463"/>
      <c r="R157" s="463"/>
      <c r="S157" s="463"/>
      <c r="T157" s="462"/>
      <c r="U157" s="462"/>
      <c r="V157" s="463"/>
      <c r="W157" s="463"/>
      <c r="X157" s="463"/>
    </row>
    <row r="158" spans="1:24">
      <c r="A158" s="463"/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  <c r="Q158" s="463"/>
      <c r="R158" s="463"/>
      <c r="S158" s="463"/>
      <c r="T158" s="462"/>
      <c r="U158" s="462"/>
      <c r="V158" s="463"/>
      <c r="W158" s="463"/>
      <c r="X158" s="463"/>
    </row>
    <row r="159" spans="1:24">
      <c r="A159" s="463"/>
      <c r="B159" s="463"/>
      <c r="C159" s="463"/>
      <c r="D159" s="463"/>
      <c r="E159" s="463"/>
      <c r="F159" s="463"/>
      <c r="G159" s="463"/>
      <c r="H159" s="463"/>
      <c r="I159" s="463"/>
      <c r="J159" s="463"/>
      <c r="K159" s="463"/>
      <c r="L159" s="463"/>
      <c r="M159" s="463"/>
      <c r="N159" s="463"/>
      <c r="O159" s="463"/>
      <c r="P159" s="463"/>
      <c r="Q159" s="463"/>
      <c r="R159" s="463"/>
      <c r="S159" s="463"/>
      <c r="T159" s="462"/>
      <c r="U159" s="462"/>
      <c r="V159" s="463"/>
      <c r="W159" s="463"/>
      <c r="X159" s="463"/>
    </row>
    <row r="160" spans="1:24">
      <c r="A160" s="463"/>
      <c r="B160" s="463"/>
      <c r="C160" s="463"/>
      <c r="D160" s="463"/>
      <c r="E160" s="463"/>
      <c r="F160" s="463"/>
      <c r="G160" s="463"/>
      <c r="H160" s="463"/>
      <c r="I160" s="463"/>
      <c r="J160" s="463"/>
      <c r="K160" s="463"/>
      <c r="L160" s="463"/>
      <c r="M160" s="463"/>
      <c r="N160" s="463"/>
      <c r="O160" s="463"/>
      <c r="P160" s="463"/>
      <c r="Q160" s="463"/>
      <c r="R160" s="463"/>
      <c r="S160" s="463"/>
      <c r="T160" s="462"/>
      <c r="U160" s="462"/>
      <c r="V160" s="463"/>
      <c r="W160" s="463"/>
      <c r="X160" s="463"/>
    </row>
    <row r="161" spans="1:24">
      <c r="A161" s="463"/>
      <c r="B161" s="463"/>
      <c r="C161" s="463"/>
      <c r="D161" s="463"/>
      <c r="E161" s="463"/>
      <c r="F161" s="463"/>
      <c r="G161" s="463"/>
      <c r="H161" s="463"/>
      <c r="I161" s="463"/>
      <c r="J161" s="463"/>
      <c r="K161" s="463"/>
      <c r="L161" s="463"/>
      <c r="M161" s="463"/>
      <c r="N161" s="463"/>
      <c r="O161" s="463"/>
      <c r="P161" s="463"/>
      <c r="Q161" s="463"/>
      <c r="R161" s="463"/>
      <c r="S161" s="463"/>
      <c r="T161" s="462"/>
      <c r="U161" s="462"/>
      <c r="V161" s="463"/>
      <c r="W161" s="463"/>
      <c r="X161" s="463"/>
    </row>
    <row r="162" spans="1:24">
      <c r="A162" s="463"/>
      <c r="B162" s="463"/>
      <c r="C162" s="463"/>
      <c r="D162" s="463"/>
      <c r="E162" s="463"/>
      <c r="F162" s="463"/>
      <c r="G162" s="463"/>
      <c r="H162" s="463"/>
      <c r="I162" s="463"/>
      <c r="J162" s="463"/>
      <c r="K162" s="463"/>
      <c r="L162" s="463"/>
      <c r="M162" s="463"/>
      <c r="N162" s="463"/>
      <c r="O162" s="463"/>
      <c r="P162" s="463"/>
      <c r="Q162" s="463"/>
      <c r="R162" s="463"/>
      <c r="S162" s="463"/>
      <c r="T162" s="462"/>
      <c r="U162" s="462"/>
      <c r="V162" s="463"/>
      <c r="W162" s="463"/>
      <c r="X162" s="463"/>
    </row>
    <row r="163" spans="1:24">
      <c r="A163" s="463"/>
      <c r="B163" s="463"/>
      <c r="C163" s="463"/>
      <c r="D163" s="463"/>
      <c r="E163" s="463"/>
      <c r="F163" s="463"/>
      <c r="G163" s="463"/>
      <c r="H163" s="463"/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3"/>
      <c r="T163" s="462"/>
      <c r="U163" s="462"/>
      <c r="V163" s="463"/>
      <c r="W163" s="463"/>
      <c r="X163" s="463"/>
    </row>
    <row r="164" spans="1:24">
      <c r="A164" s="463"/>
      <c r="B164" s="463"/>
      <c r="C164" s="463"/>
      <c r="D164" s="463"/>
      <c r="E164" s="463"/>
      <c r="F164" s="463"/>
      <c r="G164" s="463"/>
      <c r="H164" s="463"/>
      <c r="I164" s="463"/>
      <c r="J164" s="463"/>
      <c r="K164" s="463"/>
      <c r="L164" s="463"/>
      <c r="M164" s="463"/>
      <c r="N164" s="463"/>
      <c r="O164" s="463"/>
      <c r="P164" s="463"/>
      <c r="Q164" s="463"/>
      <c r="R164" s="463"/>
      <c r="S164" s="463"/>
      <c r="T164" s="462"/>
      <c r="U164" s="462"/>
      <c r="V164" s="463"/>
      <c r="W164" s="463"/>
      <c r="X164" s="463"/>
    </row>
    <row r="165" spans="1:24">
      <c r="A165" s="463"/>
      <c r="B165" s="463"/>
      <c r="C165" s="463"/>
      <c r="D165" s="463"/>
      <c r="E165" s="463"/>
      <c r="F165" s="463"/>
      <c r="G165" s="463"/>
      <c r="H165" s="463"/>
      <c r="I165" s="463"/>
      <c r="J165" s="463"/>
      <c r="K165" s="463"/>
      <c r="L165" s="463"/>
      <c r="M165" s="463"/>
      <c r="N165" s="463"/>
      <c r="O165" s="463"/>
      <c r="P165" s="463"/>
      <c r="Q165" s="463"/>
      <c r="R165" s="463"/>
      <c r="S165" s="463"/>
      <c r="T165" s="462"/>
      <c r="U165" s="462"/>
      <c r="V165" s="463"/>
      <c r="W165" s="463"/>
      <c r="X165" s="463"/>
    </row>
    <row r="166" spans="1:24">
      <c r="A166" s="463"/>
      <c r="B166" s="463"/>
      <c r="C166" s="463"/>
      <c r="D166" s="463"/>
      <c r="E166" s="463"/>
      <c r="F166" s="463"/>
      <c r="G166" s="463"/>
      <c r="H166" s="463"/>
      <c r="I166" s="463"/>
      <c r="J166" s="463"/>
      <c r="K166" s="463"/>
      <c r="L166" s="463"/>
      <c r="M166" s="463"/>
      <c r="N166" s="463"/>
      <c r="O166" s="463"/>
      <c r="P166" s="463"/>
      <c r="Q166" s="463"/>
      <c r="R166" s="463"/>
      <c r="S166" s="463"/>
      <c r="T166" s="462"/>
      <c r="U166" s="462"/>
      <c r="V166" s="463"/>
      <c r="W166" s="463"/>
      <c r="X166" s="463"/>
    </row>
    <row r="167" spans="1:24">
      <c r="A167" s="463"/>
      <c r="B167" s="463"/>
      <c r="C167" s="463"/>
      <c r="D167" s="463"/>
      <c r="E167" s="463"/>
      <c r="F167" s="463"/>
      <c r="G167" s="463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2"/>
      <c r="U167" s="462"/>
      <c r="V167" s="463"/>
      <c r="W167" s="463"/>
      <c r="X167" s="463"/>
    </row>
    <row r="168" spans="1:24">
      <c r="A168" s="463"/>
      <c r="B168" s="463"/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3"/>
      <c r="Q168" s="463"/>
      <c r="R168" s="463"/>
      <c r="S168" s="463"/>
      <c r="T168" s="462"/>
      <c r="U168" s="462"/>
      <c r="V168" s="463"/>
      <c r="W168" s="463"/>
      <c r="X168" s="463"/>
    </row>
    <row r="169" spans="1:24">
      <c r="A169" s="463"/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3"/>
      <c r="Q169" s="463"/>
      <c r="R169" s="463"/>
      <c r="S169" s="463"/>
      <c r="T169" s="462"/>
      <c r="U169" s="462"/>
      <c r="V169" s="463"/>
      <c r="W169" s="463"/>
      <c r="X169" s="463"/>
    </row>
    <row r="170" spans="1:24">
      <c r="A170" s="463"/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463"/>
      <c r="R170" s="463"/>
      <c r="S170" s="463"/>
      <c r="T170" s="462"/>
      <c r="U170" s="462"/>
      <c r="V170" s="463"/>
      <c r="W170" s="463"/>
      <c r="X170" s="463"/>
    </row>
    <row r="171" spans="1:24">
      <c r="A171" s="463"/>
      <c r="B171" s="463"/>
      <c r="C171" s="463"/>
      <c r="D171" s="463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  <c r="P171" s="463"/>
      <c r="Q171" s="463"/>
      <c r="R171" s="463"/>
      <c r="S171" s="463"/>
      <c r="T171" s="462"/>
      <c r="U171" s="462"/>
      <c r="V171" s="463"/>
      <c r="W171" s="463"/>
      <c r="X171" s="463"/>
    </row>
    <row r="172" spans="1:24">
      <c r="A172" s="463"/>
      <c r="B172" s="463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3"/>
      <c r="Q172" s="463"/>
      <c r="R172" s="463"/>
      <c r="S172" s="463"/>
      <c r="T172" s="462"/>
      <c r="U172" s="462"/>
      <c r="V172" s="463"/>
      <c r="W172" s="463"/>
      <c r="X172" s="463"/>
    </row>
    <row r="173" spans="1:24">
      <c r="A173" s="463"/>
      <c r="B173" s="463"/>
      <c r="C173" s="463"/>
      <c r="D173" s="463"/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  <c r="O173" s="463"/>
      <c r="P173" s="463"/>
      <c r="Q173" s="463"/>
      <c r="R173" s="463"/>
      <c r="S173" s="463"/>
      <c r="T173" s="462"/>
      <c r="U173" s="462"/>
      <c r="V173" s="463"/>
      <c r="W173" s="463"/>
      <c r="X173" s="463"/>
    </row>
    <row r="174" spans="1:24">
      <c r="A174" s="463"/>
      <c r="B174" s="463"/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463"/>
      <c r="R174" s="463"/>
      <c r="S174" s="463"/>
      <c r="T174" s="462"/>
      <c r="U174" s="462"/>
      <c r="V174" s="463"/>
      <c r="W174" s="463"/>
      <c r="X174" s="463"/>
    </row>
    <row r="175" spans="1:24">
      <c r="A175" s="463"/>
      <c r="B175" s="463"/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463"/>
      <c r="R175" s="463"/>
      <c r="S175" s="463"/>
      <c r="T175" s="462"/>
      <c r="U175" s="462"/>
      <c r="V175" s="463"/>
      <c r="W175" s="463"/>
      <c r="X175" s="463"/>
    </row>
    <row r="176" spans="1:24">
      <c r="A176" s="463"/>
      <c r="B176" s="463"/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  <c r="P176" s="463"/>
      <c r="Q176" s="463"/>
      <c r="R176" s="463"/>
      <c r="S176" s="463"/>
      <c r="T176" s="462"/>
      <c r="U176" s="462"/>
      <c r="V176" s="463"/>
      <c r="W176" s="463"/>
      <c r="X176" s="463"/>
    </row>
    <row r="177" spans="1:24">
      <c r="A177" s="463"/>
      <c r="B177" s="463"/>
      <c r="C177" s="463"/>
      <c r="D177" s="463"/>
      <c r="E177" s="463"/>
      <c r="F177" s="463"/>
      <c r="G177" s="463"/>
      <c r="H177" s="463"/>
      <c r="I177" s="463"/>
      <c r="J177" s="463"/>
      <c r="K177" s="463"/>
      <c r="L177" s="463"/>
      <c r="M177" s="463"/>
      <c r="N177" s="463"/>
      <c r="O177" s="463"/>
      <c r="P177" s="463"/>
      <c r="Q177" s="463"/>
      <c r="R177" s="463"/>
      <c r="S177" s="463"/>
      <c r="T177" s="462"/>
      <c r="U177" s="462"/>
      <c r="V177" s="463"/>
      <c r="W177" s="463"/>
      <c r="X177" s="463"/>
    </row>
    <row r="178" spans="1:24">
      <c r="A178" s="463"/>
      <c r="B178" s="463"/>
      <c r="C178" s="463"/>
      <c r="D178" s="463"/>
      <c r="E178" s="463"/>
      <c r="F178" s="463"/>
      <c r="G178" s="463"/>
      <c r="H178" s="463"/>
      <c r="I178" s="463"/>
      <c r="J178" s="463"/>
      <c r="K178" s="463"/>
      <c r="L178" s="463"/>
      <c r="M178" s="463"/>
      <c r="N178" s="463"/>
      <c r="O178" s="463"/>
      <c r="P178" s="463"/>
      <c r="Q178" s="463"/>
      <c r="R178" s="463"/>
      <c r="S178" s="463"/>
      <c r="T178" s="462"/>
      <c r="U178" s="462"/>
      <c r="V178" s="463"/>
      <c r="W178" s="463"/>
      <c r="X178" s="463"/>
    </row>
    <row r="179" spans="1:24">
      <c r="A179" s="463"/>
      <c r="B179" s="463"/>
      <c r="C179" s="463"/>
      <c r="D179" s="463"/>
      <c r="E179" s="463"/>
      <c r="F179" s="463"/>
      <c r="G179" s="463"/>
      <c r="H179" s="463"/>
      <c r="I179" s="463"/>
      <c r="J179" s="463"/>
      <c r="K179" s="463"/>
      <c r="L179" s="463"/>
      <c r="M179" s="463"/>
      <c r="N179" s="463"/>
      <c r="O179" s="463"/>
      <c r="P179" s="463"/>
      <c r="Q179" s="463"/>
      <c r="R179" s="463"/>
      <c r="S179" s="463"/>
      <c r="T179" s="462"/>
      <c r="U179" s="462"/>
      <c r="V179" s="463"/>
      <c r="W179" s="463"/>
      <c r="X179" s="463"/>
    </row>
    <row r="180" spans="1:24">
      <c r="A180" s="463"/>
      <c r="B180" s="463"/>
      <c r="C180" s="463"/>
      <c r="D180" s="463"/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2"/>
      <c r="U180" s="462"/>
      <c r="V180" s="463"/>
      <c r="W180" s="463"/>
      <c r="X180" s="463"/>
    </row>
    <row r="181" spans="1:24">
      <c r="A181" s="463"/>
      <c r="B181" s="463"/>
      <c r="C181" s="463"/>
      <c r="D181" s="463"/>
      <c r="E181" s="463"/>
      <c r="F181" s="463"/>
      <c r="G181" s="463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2"/>
      <c r="U181" s="462"/>
      <c r="V181" s="463"/>
      <c r="W181" s="463"/>
      <c r="X181" s="463"/>
    </row>
    <row r="182" spans="1:24">
      <c r="A182" s="463"/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  <c r="O182" s="463"/>
      <c r="P182" s="463"/>
      <c r="Q182" s="463"/>
      <c r="R182" s="463"/>
      <c r="S182" s="463"/>
      <c r="T182" s="462"/>
      <c r="U182" s="462"/>
      <c r="V182" s="463"/>
      <c r="W182" s="463"/>
      <c r="X182" s="463"/>
    </row>
    <row r="183" spans="1:24">
      <c r="A183" s="463"/>
      <c r="B183" s="463"/>
      <c r="C183" s="463"/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3"/>
      <c r="Q183" s="463"/>
      <c r="R183" s="463"/>
      <c r="S183" s="463"/>
      <c r="T183" s="462"/>
      <c r="U183" s="462"/>
      <c r="V183" s="463"/>
      <c r="W183" s="463"/>
      <c r="X183" s="463"/>
    </row>
    <row r="184" spans="1:24">
      <c r="A184" s="463"/>
      <c r="B184" s="463"/>
      <c r="C184" s="463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  <c r="O184" s="463"/>
      <c r="P184" s="463"/>
      <c r="Q184" s="463"/>
      <c r="R184" s="463"/>
      <c r="S184" s="463"/>
      <c r="T184" s="462"/>
      <c r="U184" s="462"/>
      <c r="V184" s="463"/>
      <c r="W184" s="463"/>
      <c r="X184" s="463"/>
    </row>
    <row r="185" spans="1:24">
      <c r="A185" s="463"/>
      <c r="B185" s="463"/>
      <c r="C185" s="463"/>
      <c r="D185" s="463"/>
      <c r="E185" s="463"/>
      <c r="F185" s="463"/>
      <c r="G185" s="463"/>
      <c r="H185" s="463"/>
      <c r="I185" s="463"/>
      <c r="J185" s="463"/>
      <c r="K185" s="463"/>
      <c r="L185" s="463"/>
      <c r="M185" s="463"/>
      <c r="N185" s="463"/>
      <c r="O185" s="463"/>
      <c r="P185" s="463"/>
      <c r="Q185" s="463"/>
      <c r="R185" s="463"/>
      <c r="S185" s="463"/>
      <c r="T185" s="462"/>
      <c r="U185" s="462"/>
      <c r="V185" s="463"/>
      <c r="W185" s="463"/>
      <c r="X185" s="463"/>
    </row>
    <row r="186" spans="1:24">
      <c r="A186" s="463"/>
      <c r="B186" s="463"/>
      <c r="C186" s="463"/>
      <c r="D186" s="463"/>
      <c r="E186" s="463"/>
      <c r="F186" s="463"/>
      <c r="G186" s="463"/>
      <c r="H186" s="463"/>
      <c r="I186" s="463"/>
      <c r="J186" s="463"/>
      <c r="K186" s="463"/>
      <c r="L186" s="463"/>
      <c r="M186" s="463"/>
      <c r="N186" s="463"/>
      <c r="O186" s="463"/>
      <c r="P186" s="463"/>
      <c r="Q186" s="463"/>
      <c r="R186" s="463"/>
      <c r="S186" s="463"/>
      <c r="T186" s="462"/>
      <c r="U186" s="462"/>
      <c r="V186" s="463"/>
      <c r="W186" s="463"/>
      <c r="X186" s="463"/>
    </row>
    <row r="187" spans="1:24">
      <c r="A187" s="463"/>
      <c r="B187" s="463"/>
      <c r="C187" s="463"/>
      <c r="D187" s="463"/>
      <c r="E187" s="463"/>
      <c r="F187" s="463"/>
      <c r="G187" s="463"/>
      <c r="H187" s="463"/>
      <c r="I187" s="463"/>
      <c r="J187" s="463"/>
      <c r="K187" s="463"/>
      <c r="L187" s="463"/>
      <c r="M187" s="463"/>
      <c r="N187" s="463"/>
      <c r="O187" s="463"/>
      <c r="P187" s="463"/>
      <c r="Q187" s="463"/>
      <c r="R187" s="463"/>
      <c r="S187" s="463"/>
      <c r="T187" s="462"/>
      <c r="U187" s="462"/>
      <c r="V187" s="463"/>
      <c r="W187" s="463"/>
      <c r="X187" s="463"/>
    </row>
    <row r="188" spans="1:24">
      <c r="A188" s="463"/>
      <c r="B188" s="463"/>
      <c r="C188" s="463"/>
      <c r="D188" s="463"/>
      <c r="E188" s="463"/>
      <c r="F188" s="463"/>
      <c r="G188" s="463"/>
      <c r="H188" s="463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2"/>
      <c r="U188" s="462"/>
      <c r="V188" s="463"/>
      <c r="W188" s="463"/>
      <c r="X188" s="463"/>
    </row>
    <row r="189" spans="1:24">
      <c r="A189" s="463"/>
      <c r="B189" s="463"/>
      <c r="C189" s="463"/>
      <c r="D189" s="463"/>
      <c r="E189" s="463"/>
      <c r="F189" s="463"/>
      <c r="G189" s="463"/>
      <c r="H189" s="463"/>
      <c r="I189" s="463"/>
      <c r="J189" s="463"/>
      <c r="K189" s="463"/>
      <c r="L189" s="463"/>
      <c r="M189" s="463"/>
      <c r="N189" s="463"/>
      <c r="O189" s="463"/>
      <c r="P189" s="463"/>
      <c r="Q189" s="463"/>
      <c r="R189" s="463"/>
      <c r="S189" s="463"/>
      <c r="T189" s="462"/>
      <c r="U189" s="462"/>
      <c r="V189" s="463"/>
      <c r="W189" s="463"/>
      <c r="X189" s="463"/>
    </row>
    <row r="190" spans="1:24">
      <c r="A190" s="463"/>
      <c r="B190" s="463"/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N190" s="463"/>
      <c r="O190" s="463"/>
      <c r="P190" s="463"/>
      <c r="Q190" s="463"/>
      <c r="R190" s="463"/>
      <c r="S190" s="463"/>
      <c r="T190" s="462"/>
      <c r="U190" s="462"/>
      <c r="V190" s="463"/>
      <c r="W190" s="463"/>
      <c r="X190" s="463"/>
    </row>
    <row r="191" spans="1:24">
      <c r="A191" s="463"/>
      <c r="B191" s="463"/>
      <c r="C191" s="463"/>
      <c r="D191" s="463"/>
      <c r="E191" s="463"/>
      <c r="F191" s="463"/>
      <c r="G191" s="463"/>
      <c r="H191" s="463"/>
      <c r="I191" s="463"/>
      <c r="J191" s="463"/>
      <c r="K191" s="463"/>
      <c r="L191" s="463"/>
      <c r="M191" s="463"/>
      <c r="N191" s="463"/>
      <c r="O191" s="463"/>
      <c r="P191" s="463"/>
      <c r="Q191" s="463"/>
      <c r="R191" s="463"/>
      <c r="S191" s="463"/>
      <c r="T191" s="462"/>
      <c r="U191" s="462"/>
      <c r="V191" s="463"/>
      <c r="W191" s="463"/>
      <c r="X191" s="463"/>
    </row>
    <row r="192" spans="1:24">
      <c r="A192" s="463"/>
      <c r="B192" s="463"/>
      <c r="C192" s="463"/>
      <c r="D192" s="463"/>
      <c r="E192" s="463"/>
      <c r="F192" s="463"/>
      <c r="G192" s="463"/>
      <c r="H192" s="463"/>
      <c r="I192" s="463"/>
      <c r="J192" s="463"/>
      <c r="K192" s="463"/>
      <c r="L192" s="463"/>
      <c r="M192" s="463"/>
      <c r="N192" s="463"/>
      <c r="O192" s="463"/>
      <c r="P192" s="463"/>
      <c r="Q192" s="463"/>
      <c r="R192" s="463"/>
      <c r="S192" s="463"/>
      <c r="T192" s="462"/>
      <c r="U192" s="462"/>
      <c r="V192" s="463"/>
      <c r="W192" s="463"/>
      <c r="X192" s="463"/>
    </row>
    <row r="193" spans="1:24">
      <c r="A193" s="463"/>
      <c r="B193" s="463"/>
      <c r="C193" s="463"/>
      <c r="D193" s="463"/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  <c r="O193" s="463"/>
      <c r="P193" s="463"/>
      <c r="Q193" s="463"/>
      <c r="R193" s="463"/>
      <c r="S193" s="463"/>
      <c r="T193" s="462"/>
      <c r="U193" s="462"/>
      <c r="V193" s="463"/>
      <c r="W193" s="463"/>
      <c r="X193" s="463"/>
    </row>
    <row r="194" spans="1:24">
      <c r="A194" s="463"/>
      <c r="B194" s="463"/>
      <c r="C194" s="463"/>
      <c r="D194" s="463"/>
      <c r="E194" s="463"/>
      <c r="F194" s="463"/>
      <c r="G194" s="463"/>
      <c r="H194" s="463"/>
      <c r="I194" s="463"/>
      <c r="J194" s="463"/>
      <c r="K194" s="463"/>
      <c r="L194" s="463"/>
      <c r="M194" s="463"/>
      <c r="N194" s="463"/>
      <c r="O194" s="463"/>
      <c r="P194" s="463"/>
      <c r="Q194" s="463"/>
      <c r="R194" s="463"/>
      <c r="S194" s="463"/>
      <c r="T194" s="462"/>
      <c r="U194" s="462"/>
      <c r="V194" s="463"/>
      <c r="W194" s="463"/>
      <c r="X194" s="463"/>
    </row>
    <row r="195" spans="1:24">
      <c r="A195" s="463"/>
      <c r="B195" s="463"/>
      <c r="C195" s="463"/>
      <c r="D195" s="463"/>
      <c r="E195" s="463"/>
      <c r="F195" s="463"/>
      <c r="G195" s="463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2"/>
      <c r="U195" s="462"/>
      <c r="V195" s="463"/>
      <c r="W195" s="463"/>
      <c r="X195" s="463"/>
    </row>
    <row r="196" spans="1:24">
      <c r="A196" s="463"/>
      <c r="B196" s="463"/>
      <c r="C196" s="463"/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  <c r="O196" s="463"/>
      <c r="P196" s="463"/>
      <c r="Q196" s="463"/>
      <c r="R196" s="463"/>
      <c r="S196" s="463"/>
      <c r="T196" s="462"/>
      <c r="U196" s="462"/>
      <c r="V196" s="463"/>
      <c r="W196" s="463"/>
      <c r="X196" s="463"/>
    </row>
    <row r="197" spans="1:24">
      <c r="A197" s="463"/>
      <c r="B197" s="463"/>
      <c r="C197" s="463"/>
      <c r="D197" s="463"/>
      <c r="E197" s="463"/>
      <c r="F197" s="463"/>
      <c r="G197" s="463"/>
      <c r="H197" s="463"/>
      <c r="I197" s="463"/>
      <c r="J197" s="463"/>
      <c r="K197" s="463"/>
      <c r="L197" s="463"/>
      <c r="M197" s="463"/>
      <c r="N197" s="463"/>
      <c r="O197" s="463"/>
      <c r="P197" s="463"/>
      <c r="Q197" s="463"/>
      <c r="R197" s="463"/>
      <c r="S197" s="463"/>
      <c r="T197" s="462"/>
      <c r="U197" s="462"/>
      <c r="V197" s="463"/>
      <c r="W197" s="463"/>
      <c r="X197" s="463"/>
    </row>
    <row r="198" spans="1:24">
      <c r="A198" s="463"/>
      <c r="B198" s="463"/>
      <c r="C198" s="463"/>
      <c r="D198" s="463"/>
      <c r="E198" s="463"/>
      <c r="F198" s="463"/>
      <c r="G198" s="463"/>
      <c r="H198" s="463"/>
      <c r="I198" s="463"/>
      <c r="J198" s="463"/>
      <c r="K198" s="463"/>
      <c r="L198" s="463"/>
      <c r="M198" s="463"/>
      <c r="N198" s="463"/>
      <c r="O198" s="463"/>
      <c r="P198" s="463"/>
      <c r="Q198" s="463"/>
      <c r="R198" s="463"/>
      <c r="S198" s="463"/>
      <c r="T198" s="462"/>
      <c r="U198" s="462"/>
      <c r="V198" s="463"/>
      <c r="W198" s="463"/>
      <c r="X198" s="463"/>
    </row>
    <row r="199" spans="1:24">
      <c r="A199" s="463"/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3"/>
      <c r="O199" s="463"/>
      <c r="P199" s="463"/>
      <c r="Q199" s="463"/>
      <c r="R199" s="463"/>
      <c r="S199" s="463"/>
      <c r="T199" s="462"/>
      <c r="U199" s="462"/>
      <c r="V199" s="463"/>
      <c r="W199" s="463"/>
      <c r="X199" s="463"/>
    </row>
    <row r="200" spans="1:24">
      <c r="A200" s="463"/>
      <c r="B200" s="463"/>
      <c r="C200" s="463"/>
      <c r="D200" s="463"/>
      <c r="E200" s="463"/>
      <c r="F200" s="463"/>
      <c r="G200" s="463"/>
      <c r="H200" s="463"/>
      <c r="I200" s="463"/>
      <c r="J200" s="463"/>
      <c r="K200" s="463"/>
      <c r="L200" s="463"/>
      <c r="M200" s="463"/>
      <c r="N200" s="463"/>
      <c r="O200" s="463"/>
      <c r="P200" s="463"/>
      <c r="Q200" s="463"/>
      <c r="R200" s="463"/>
      <c r="S200" s="463"/>
      <c r="T200" s="462"/>
      <c r="U200" s="462"/>
      <c r="V200" s="463"/>
      <c r="W200" s="463"/>
      <c r="X200" s="463"/>
    </row>
    <row r="201" spans="1:24">
      <c r="A201" s="463"/>
      <c r="B201" s="463"/>
      <c r="C201" s="463"/>
      <c r="D201" s="463"/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  <c r="O201" s="463"/>
      <c r="P201" s="463"/>
      <c r="Q201" s="463"/>
      <c r="R201" s="463"/>
      <c r="S201" s="463"/>
      <c r="T201" s="462"/>
      <c r="U201" s="462"/>
      <c r="V201" s="463"/>
      <c r="W201" s="463"/>
      <c r="X201" s="463"/>
    </row>
    <row r="202" spans="1:24">
      <c r="A202" s="463"/>
      <c r="B202" s="463"/>
      <c r="C202" s="463"/>
      <c r="D202" s="463"/>
      <c r="E202" s="463"/>
      <c r="F202" s="463"/>
      <c r="G202" s="463"/>
      <c r="H202" s="463"/>
      <c r="I202" s="463"/>
      <c r="J202" s="463"/>
      <c r="K202" s="463"/>
      <c r="L202" s="463"/>
      <c r="M202" s="463"/>
      <c r="N202" s="463"/>
      <c r="O202" s="463"/>
      <c r="P202" s="463"/>
      <c r="Q202" s="463"/>
      <c r="R202" s="463"/>
      <c r="S202" s="463"/>
      <c r="T202" s="462"/>
      <c r="U202" s="462"/>
      <c r="V202" s="463"/>
      <c r="W202" s="463"/>
      <c r="X202" s="463"/>
    </row>
    <row r="203" spans="1:24">
      <c r="A203" s="463"/>
      <c r="B203" s="463"/>
      <c r="C203" s="463"/>
      <c r="D203" s="463"/>
      <c r="E203" s="463"/>
      <c r="F203" s="463"/>
      <c r="G203" s="463"/>
      <c r="H203" s="463"/>
      <c r="I203" s="463"/>
      <c r="J203" s="463"/>
      <c r="K203" s="463"/>
      <c r="L203" s="463"/>
      <c r="M203" s="463"/>
      <c r="N203" s="463"/>
      <c r="O203" s="463"/>
      <c r="P203" s="463"/>
      <c r="Q203" s="463"/>
      <c r="R203" s="463"/>
      <c r="S203" s="463"/>
      <c r="T203" s="462"/>
      <c r="U203" s="462"/>
      <c r="V203" s="463"/>
      <c r="W203" s="463"/>
      <c r="X203" s="463"/>
    </row>
    <row r="204" spans="1:24">
      <c r="A204" s="463"/>
      <c r="B204" s="463"/>
      <c r="C204" s="463"/>
      <c r="D204" s="463"/>
      <c r="E204" s="463"/>
      <c r="F204" s="463"/>
      <c r="G204" s="463"/>
      <c r="H204" s="463"/>
      <c r="I204" s="463"/>
      <c r="J204" s="463"/>
      <c r="K204" s="463"/>
      <c r="L204" s="463"/>
      <c r="M204" s="463"/>
      <c r="N204" s="463"/>
      <c r="O204" s="463"/>
      <c r="P204" s="463"/>
      <c r="Q204" s="463"/>
      <c r="R204" s="463"/>
      <c r="S204" s="463"/>
      <c r="T204" s="462"/>
      <c r="U204" s="462"/>
      <c r="V204" s="463"/>
      <c r="W204" s="463"/>
      <c r="X204" s="463"/>
    </row>
    <row r="205" spans="1:24">
      <c r="A205" s="463"/>
      <c r="B205" s="463"/>
      <c r="C205" s="463"/>
      <c r="D205" s="463"/>
      <c r="E205" s="463"/>
      <c r="F205" s="463"/>
      <c r="G205" s="463"/>
      <c r="H205" s="463"/>
      <c r="I205" s="463"/>
      <c r="J205" s="463"/>
      <c r="K205" s="463"/>
      <c r="L205" s="463"/>
      <c r="M205" s="463"/>
      <c r="N205" s="463"/>
      <c r="O205" s="463"/>
      <c r="P205" s="463"/>
      <c r="Q205" s="463"/>
      <c r="R205" s="463"/>
      <c r="S205" s="463"/>
      <c r="T205" s="462"/>
      <c r="U205" s="462"/>
      <c r="V205" s="463"/>
      <c r="W205" s="463"/>
      <c r="X205" s="463"/>
    </row>
    <row r="206" spans="1:24">
      <c r="A206" s="463"/>
      <c r="B206" s="463"/>
      <c r="C206" s="463"/>
      <c r="D206" s="463"/>
      <c r="E206" s="463"/>
      <c r="F206" s="463"/>
      <c r="G206" s="463"/>
      <c r="H206" s="463"/>
      <c r="I206" s="463"/>
      <c r="J206" s="463"/>
      <c r="K206" s="463"/>
      <c r="L206" s="463"/>
      <c r="M206" s="463"/>
      <c r="N206" s="463"/>
      <c r="O206" s="463"/>
      <c r="P206" s="463"/>
      <c r="Q206" s="463"/>
      <c r="R206" s="463"/>
      <c r="S206" s="463"/>
      <c r="T206" s="462"/>
      <c r="U206" s="462"/>
      <c r="V206" s="463"/>
      <c r="W206" s="463"/>
      <c r="X206" s="463"/>
    </row>
    <row r="207" spans="1:24">
      <c r="A207" s="463"/>
      <c r="B207" s="463"/>
      <c r="C207" s="463"/>
      <c r="D207" s="463"/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  <c r="O207" s="463"/>
      <c r="P207" s="463"/>
      <c r="Q207" s="463"/>
      <c r="R207" s="463"/>
      <c r="S207" s="463"/>
      <c r="T207" s="462"/>
      <c r="U207" s="462"/>
      <c r="V207" s="463"/>
      <c r="W207" s="463"/>
      <c r="X207" s="463"/>
    </row>
    <row r="208" spans="1:24">
      <c r="A208" s="463"/>
      <c r="B208" s="463"/>
      <c r="C208" s="463"/>
      <c r="D208" s="463"/>
      <c r="E208" s="463"/>
      <c r="F208" s="463"/>
      <c r="G208" s="463"/>
      <c r="H208" s="463"/>
      <c r="I208" s="463"/>
      <c r="J208" s="463"/>
      <c r="K208" s="463"/>
      <c r="L208" s="463"/>
      <c r="M208" s="463"/>
      <c r="N208" s="463"/>
      <c r="O208" s="463"/>
      <c r="P208" s="463"/>
      <c r="Q208" s="463"/>
      <c r="R208" s="463"/>
      <c r="S208" s="463"/>
      <c r="T208" s="462"/>
      <c r="U208" s="462"/>
      <c r="V208" s="463"/>
      <c r="W208" s="463"/>
      <c r="X208" s="463"/>
    </row>
    <row r="209" spans="1:24">
      <c r="A209" s="463"/>
      <c r="B209" s="463"/>
      <c r="C209" s="463"/>
      <c r="D209" s="463"/>
      <c r="E209" s="463"/>
      <c r="F209" s="463"/>
      <c r="G209" s="463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2"/>
      <c r="U209" s="462"/>
      <c r="V209" s="463"/>
      <c r="W209" s="463"/>
      <c r="X209" s="463"/>
    </row>
    <row r="210" spans="1:24">
      <c r="A210" s="463"/>
      <c r="B210" s="463"/>
      <c r="C210" s="463"/>
      <c r="D210" s="463"/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  <c r="Q210" s="463"/>
      <c r="R210" s="463"/>
      <c r="S210" s="463"/>
      <c r="T210" s="462"/>
      <c r="U210" s="462"/>
      <c r="V210" s="463"/>
      <c r="W210" s="463"/>
      <c r="X210" s="463"/>
    </row>
    <row r="211" spans="1:24">
      <c r="A211" s="463"/>
      <c r="B211" s="463"/>
      <c r="C211" s="463"/>
      <c r="D211" s="463"/>
      <c r="E211" s="463"/>
      <c r="F211" s="463"/>
      <c r="G211" s="463"/>
      <c r="H211" s="463"/>
      <c r="I211" s="463"/>
      <c r="J211" s="463"/>
      <c r="K211" s="463"/>
      <c r="L211" s="463"/>
      <c r="M211" s="463"/>
      <c r="N211" s="463"/>
      <c r="O211" s="463"/>
      <c r="P211" s="463"/>
      <c r="Q211" s="463"/>
      <c r="R211" s="463"/>
      <c r="S211" s="463"/>
      <c r="T211" s="462"/>
      <c r="U211" s="462"/>
      <c r="V211" s="463"/>
      <c r="W211" s="463"/>
      <c r="X211" s="463"/>
    </row>
    <row r="212" spans="1:24">
      <c r="A212" s="463"/>
      <c r="B212" s="463"/>
      <c r="C212" s="463"/>
      <c r="D212" s="463"/>
      <c r="E212" s="463"/>
      <c r="F212" s="463"/>
      <c r="G212" s="463"/>
      <c r="H212" s="463"/>
      <c r="I212" s="463"/>
      <c r="J212" s="463"/>
      <c r="K212" s="463"/>
      <c r="L212" s="463"/>
      <c r="M212" s="463"/>
      <c r="N212" s="463"/>
      <c r="O212" s="463"/>
      <c r="P212" s="463"/>
      <c r="Q212" s="463"/>
      <c r="R212" s="463"/>
      <c r="S212" s="463"/>
      <c r="T212" s="462"/>
      <c r="U212" s="462"/>
      <c r="V212" s="463"/>
      <c r="W212" s="463"/>
      <c r="X212" s="463"/>
    </row>
    <row r="213" spans="1:24">
      <c r="A213" s="463"/>
      <c r="B213" s="463"/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63"/>
      <c r="Q213" s="463"/>
      <c r="R213" s="463"/>
      <c r="S213" s="463"/>
      <c r="T213" s="462"/>
      <c r="U213" s="462"/>
      <c r="V213" s="463"/>
      <c r="W213" s="463"/>
      <c r="X213" s="463"/>
    </row>
    <row r="214" spans="1:24">
      <c r="A214" s="463"/>
      <c r="B214" s="463"/>
      <c r="C214" s="463"/>
      <c r="D214" s="463"/>
      <c r="E214" s="463"/>
      <c r="F214" s="463"/>
      <c r="G214" s="463"/>
      <c r="H214" s="463"/>
      <c r="I214" s="463"/>
      <c r="J214" s="463"/>
      <c r="K214" s="463"/>
      <c r="L214" s="463"/>
      <c r="M214" s="463"/>
      <c r="N214" s="463"/>
      <c r="O214" s="463"/>
      <c r="P214" s="463"/>
      <c r="Q214" s="463"/>
      <c r="R214" s="463"/>
      <c r="S214" s="463"/>
      <c r="T214" s="462"/>
      <c r="U214" s="462"/>
      <c r="V214" s="463"/>
      <c r="W214" s="463"/>
      <c r="X214" s="463"/>
    </row>
    <row r="215" spans="1:24">
      <c r="A215" s="463"/>
      <c r="B215" s="463"/>
      <c r="C215" s="463"/>
      <c r="D215" s="463"/>
      <c r="E215" s="463"/>
      <c r="F215" s="463"/>
      <c r="G215" s="463"/>
      <c r="H215" s="463"/>
      <c r="I215" s="463"/>
      <c r="J215" s="463"/>
      <c r="K215" s="463"/>
      <c r="L215" s="463"/>
      <c r="M215" s="463"/>
      <c r="N215" s="463"/>
      <c r="O215" s="463"/>
      <c r="P215" s="463"/>
      <c r="Q215" s="463"/>
      <c r="R215" s="463"/>
      <c r="S215" s="463"/>
      <c r="T215" s="462"/>
      <c r="U215" s="462"/>
      <c r="V215" s="463"/>
      <c r="W215" s="463"/>
      <c r="X215" s="463"/>
    </row>
    <row r="216" spans="1:24">
      <c r="A216" s="463"/>
      <c r="B216" s="463"/>
      <c r="C216" s="463"/>
      <c r="D216" s="463"/>
      <c r="E216" s="463"/>
      <c r="F216" s="463"/>
      <c r="G216" s="463"/>
      <c r="H216" s="463"/>
      <c r="I216" s="463"/>
      <c r="J216" s="463"/>
      <c r="K216" s="463"/>
      <c r="L216" s="463"/>
      <c r="M216" s="463"/>
      <c r="N216" s="463"/>
      <c r="O216" s="463"/>
      <c r="P216" s="463"/>
      <c r="Q216" s="463"/>
      <c r="R216" s="463"/>
      <c r="S216" s="463"/>
      <c r="T216" s="462"/>
      <c r="U216" s="462"/>
      <c r="V216" s="463"/>
      <c r="W216" s="463"/>
      <c r="X216" s="463"/>
    </row>
    <row r="217" spans="1:24">
      <c r="A217" s="463"/>
      <c r="B217" s="463"/>
      <c r="C217" s="463"/>
      <c r="D217" s="463"/>
      <c r="E217" s="463"/>
      <c r="F217" s="463"/>
      <c r="G217" s="463"/>
      <c r="H217" s="463"/>
      <c r="I217" s="463"/>
      <c r="J217" s="463"/>
      <c r="K217" s="463"/>
      <c r="L217" s="463"/>
      <c r="M217" s="463"/>
      <c r="N217" s="463"/>
      <c r="O217" s="463"/>
      <c r="P217" s="463"/>
      <c r="Q217" s="463"/>
      <c r="R217" s="463"/>
      <c r="S217" s="463"/>
      <c r="T217" s="462"/>
      <c r="U217" s="462"/>
      <c r="V217" s="463"/>
      <c r="W217" s="463"/>
      <c r="X217" s="463"/>
    </row>
    <row r="218" spans="1:24">
      <c r="A218" s="463"/>
      <c r="B218" s="463"/>
      <c r="C218" s="463"/>
      <c r="D218" s="463"/>
      <c r="E218" s="463"/>
      <c r="F218" s="463"/>
      <c r="G218" s="463"/>
      <c r="H218" s="463"/>
      <c r="I218" s="463"/>
      <c r="J218" s="463"/>
      <c r="K218" s="463"/>
      <c r="L218" s="463"/>
      <c r="M218" s="463"/>
      <c r="N218" s="463"/>
      <c r="O218" s="463"/>
      <c r="P218" s="463"/>
      <c r="Q218" s="463"/>
      <c r="R218" s="463"/>
      <c r="S218" s="463"/>
      <c r="T218" s="462"/>
      <c r="U218" s="462"/>
      <c r="V218" s="463"/>
      <c r="W218" s="463"/>
      <c r="X218" s="463"/>
    </row>
    <row r="219" spans="1:24">
      <c r="A219" s="463"/>
      <c r="B219" s="463"/>
      <c r="C219" s="463"/>
      <c r="D219" s="463"/>
      <c r="E219" s="463"/>
      <c r="F219" s="463"/>
      <c r="G219" s="463"/>
      <c r="H219" s="463"/>
      <c r="I219" s="463"/>
      <c r="J219" s="463"/>
      <c r="K219" s="463"/>
      <c r="L219" s="463"/>
      <c r="M219" s="463"/>
      <c r="N219" s="463"/>
      <c r="O219" s="463"/>
      <c r="P219" s="463"/>
      <c r="Q219" s="463"/>
      <c r="R219" s="463"/>
      <c r="S219" s="463"/>
      <c r="T219" s="462"/>
      <c r="U219" s="462"/>
      <c r="V219" s="463"/>
      <c r="W219" s="463"/>
      <c r="X219" s="463"/>
    </row>
    <row r="220" spans="1:24">
      <c r="A220" s="463"/>
      <c r="B220" s="463"/>
      <c r="C220" s="463"/>
      <c r="D220" s="463"/>
      <c r="E220" s="463"/>
      <c r="F220" s="463"/>
      <c r="G220" s="463"/>
      <c r="H220" s="463"/>
      <c r="I220" s="463"/>
      <c r="J220" s="463"/>
      <c r="K220" s="463"/>
      <c r="L220" s="463"/>
      <c r="M220" s="463"/>
      <c r="N220" s="463"/>
      <c r="O220" s="463"/>
      <c r="P220" s="463"/>
      <c r="Q220" s="463"/>
      <c r="R220" s="463"/>
      <c r="S220" s="463"/>
      <c r="T220" s="462"/>
      <c r="U220" s="462"/>
      <c r="V220" s="463"/>
      <c r="W220" s="463"/>
      <c r="X220" s="463"/>
    </row>
    <row r="221" spans="1:24">
      <c r="A221" s="463"/>
      <c r="B221" s="463"/>
      <c r="C221" s="463"/>
      <c r="D221" s="463"/>
      <c r="E221" s="463"/>
      <c r="F221" s="463"/>
      <c r="G221" s="463"/>
      <c r="H221" s="463"/>
      <c r="I221" s="463"/>
      <c r="J221" s="463"/>
      <c r="K221" s="463"/>
      <c r="L221" s="463"/>
      <c r="M221" s="463"/>
      <c r="N221" s="463"/>
      <c r="O221" s="463"/>
      <c r="P221" s="463"/>
      <c r="Q221" s="463"/>
      <c r="R221" s="463"/>
      <c r="S221" s="463"/>
      <c r="T221" s="462"/>
      <c r="U221" s="462"/>
      <c r="V221" s="463"/>
      <c r="W221" s="463"/>
      <c r="X221" s="463"/>
    </row>
    <row r="222" spans="1:24">
      <c r="A222" s="463"/>
      <c r="B222" s="463"/>
      <c r="C222" s="463"/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2"/>
      <c r="U222" s="462"/>
      <c r="V222" s="463"/>
      <c r="W222" s="463"/>
      <c r="X222" s="463"/>
    </row>
    <row r="223" spans="1:24">
      <c r="A223" s="463"/>
      <c r="B223" s="463"/>
      <c r="C223" s="463"/>
      <c r="D223" s="463"/>
      <c r="E223" s="463"/>
      <c r="F223" s="463"/>
      <c r="G223" s="463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2"/>
      <c r="U223" s="462"/>
      <c r="V223" s="463"/>
      <c r="W223" s="463"/>
      <c r="X223" s="463"/>
    </row>
    <row r="224" spans="1:24">
      <c r="A224" s="463"/>
      <c r="B224" s="463"/>
      <c r="C224" s="463"/>
      <c r="D224" s="463"/>
      <c r="E224" s="463"/>
      <c r="F224" s="463"/>
      <c r="G224" s="463"/>
      <c r="H224" s="463"/>
      <c r="I224" s="463"/>
      <c r="J224" s="463"/>
      <c r="K224" s="463"/>
      <c r="L224" s="463"/>
      <c r="M224" s="463"/>
      <c r="N224" s="463"/>
      <c r="O224" s="463"/>
      <c r="P224" s="463"/>
      <c r="Q224" s="463"/>
      <c r="R224" s="463"/>
      <c r="S224" s="463"/>
      <c r="T224" s="462"/>
      <c r="U224" s="462"/>
      <c r="V224" s="463"/>
      <c r="W224" s="463"/>
      <c r="X224" s="463"/>
    </row>
    <row r="225" spans="1:24">
      <c r="A225" s="463"/>
      <c r="B225" s="463"/>
      <c r="C225" s="463"/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3"/>
      <c r="Q225" s="463"/>
      <c r="R225" s="463"/>
      <c r="S225" s="463"/>
      <c r="T225" s="462"/>
      <c r="U225" s="462"/>
      <c r="V225" s="463"/>
      <c r="W225" s="463"/>
      <c r="X225" s="463"/>
    </row>
    <row r="226" spans="1:24">
      <c r="A226" s="463"/>
      <c r="B226" s="463"/>
      <c r="C226" s="463"/>
      <c r="D226" s="463"/>
      <c r="E226" s="463"/>
      <c r="F226" s="463"/>
      <c r="G226" s="463"/>
      <c r="H226" s="463"/>
      <c r="I226" s="463"/>
      <c r="J226" s="463"/>
      <c r="K226" s="463"/>
      <c r="L226" s="463"/>
      <c r="M226" s="463"/>
      <c r="N226" s="463"/>
      <c r="O226" s="463"/>
      <c r="P226" s="463"/>
      <c r="Q226" s="463"/>
      <c r="R226" s="463"/>
      <c r="S226" s="463"/>
      <c r="T226" s="462"/>
      <c r="U226" s="462"/>
      <c r="V226" s="463"/>
      <c r="W226" s="463"/>
      <c r="X226" s="463"/>
    </row>
    <row r="227" spans="1:24">
      <c r="A227" s="463"/>
      <c r="B227" s="463"/>
      <c r="C227" s="463"/>
      <c r="D227" s="463"/>
      <c r="E227" s="463"/>
      <c r="F227" s="463"/>
      <c r="G227" s="463"/>
      <c r="H227" s="463"/>
      <c r="I227" s="463"/>
      <c r="J227" s="463"/>
      <c r="K227" s="463"/>
      <c r="L227" s="463"/>
      <c r="M227" s="463"/>
      <c r="N227" s="463"/>
      <c r="O227" s="463"/>
      <c r="P227" s="463"/>
      <c r="Q227" s="463"/>
      <c r="R227" s="463"/>
      <c r="S227" s="463"/>
      <c r="T227" s="462"/>
      <c r="U227" s="462"/>
      <c r="V227" s="463"/>
      <c r="W227" s="463"/>
      <c r="X227" s="463"/>
    </row>
    <row r="228" spans="1:24">
      <c r="A228" s="463"/>
      <c r="B228" s="463"/>
      <c r="C228" s="463"/>
      <c r="D228" s="463"/>
      <c r="E228" s="463"/>
      <c r="F228" s="463"/>
      <c r="G228" s="463"/>
      <c r="H228" s="463"/>
      <c r="I228" s="463"/>
      <c r="J228" s="463"/>
      <c r="K228" s="463"/>
      <c r="L228" s="463"/>
      <c r="M228" s="463"/>
      <c r="N228" s="463"/>
      <c r="O228" s="463"/>
      <c r="P228" s="463"/>
      <c r="Q228" s="463"/>
      <c r="R228" s="463"/>
      <c r="S228" s="463"/>
      <c r="T228" s="462"/>
      <c r="U228" s="462"/>
      <c r="V228" s="463"/>
      <c r="W228" s="463"/>
      <c r="X228" s="463"/>
    </row>
    <row r="229" spans="1:24">
      <c r="A229" s="463"/>
      <c r="B229" s="463"/>
      <c r="C229" s="463"/>
      <c r="D229" s="463"/>
      <c r="E229" s="463"/>
      <c r="F229" s="463"/>
      <c r="G229" s="463"/>
      <c r="H229" s="463"/>
      <c r="I229" s="463"/>
      <c r="J229" s="463"/>
      <c r="K229" s="463"/>
      <c r="L229" s="463"/>
      <c r="M229" s="463"/>
      <c r="N229" s="463"/>
      <c r="O229" s="463"/>
      <c r="P229" s="463"/>
      <c r="Q229" s="463"/>
      <c r="R229" s="463"/>
      <c r="S229" s="463"/>
      <c r="T229" s="462"/>
      <c r="U229" s="462"/>
      <c r="V229" s="463"/>
      <c r="W229" s="463"/>
      <c r="X229" s="463"/>
    </row>
    <row r="230" spans="1:24">
      <c r="A230" s="463"/>
      <c r="B230" s="463"/>
      <c r="C230" s="463"/>
      <c r="D230" s="463"/>
      <c r="E230" s="463"/>
      <c r="F230" s="463"/>
      <c r="G230" s="463"/>
      <c r="H230" s="463"/>
      <c r="I230" s="463"/>
      <c r="J230" s="463"/>
      <c r="K230" s="463"/>
      <c r="L230" s="463"/>
      <c r="M230" s="463"/>
      <c r="N230" s="463"/>
      <c r="O230" s="463"/>
      <c r="P230" s="463"/>
      <c r="Q230" s="463"/>
      <c r="R230" s="463"/>
      <c r="S230" s="463"/>
      <c r="T230" s="462"/>
      <c r="U230" s="462"/>
      <c r="V230" s="463"/>
      <c r="W230" s="463"/>
      <c r="X230" s="463"/>
    </row>
    <row r="231" spans="1:24">
      <c r="A231" s="463"/>
      <c r="B231" s="463"/>
      <c r="C231" s="463"/>
      <c r="D231" s="463"/>
      <c r="E231" s="463"/>
      <c r="F231" s="463"/>
      <c r="G231" s="463"/>
      <c r="H231" s="463"/>
      <c r="I231" s="463"/>
      <c r="J231" s="463"/>
      <c r="K231" s="463"/>
      <c r="L231" s="463"/>
      <c r="M231" s="463"/>
      <c r="N231" s="463"/>
      <c r="O231" s="463"/>
      <c r="P231" s="463"/>
      <c r="Q231" s="463"/>
      <c r="R231" s="463"/>
      <c r="S231" s="463"/>
      <c r="T231" s="462"/>
      <c r="U231" s="462"/>
      <c r="V231" s="463"/>
      <c r="W231" s="463"/>
      <c r="X231" s="463"/>
    </row>
    <row r="232" spans="1:24">
      <c r="A232" s="463"/>
      <c r="B232" s="463"/>
      <c r="C232" s="463"/>
      <c r="D232" s="463"/>
      <c r="E232" s="463"/>
      <c r="F232" s="463"/>
      <c r="G232" s="463"/>
      <c r="H232" s="463"/>
      <c r="I232" s="463"/>
      <c r="J232" s="463"/>
      <c r="K232" s="463"/>
      <c r="L232" s="463"/>
      <c r="M232" s="463"/>
      <c r="N232" s="463"/>
      <c r="O232" s="463"/>
      <c r="P232" s="463"/>
      <c r="Q232" s="463"/>
      <c r="R232" s="463"/>
      <c r="S232" s="463"/>
      <c r="T232" s="462"/>
      <c r="U232" s="462"/>
      <c r="V232" s="463"/>
      <c r="W232" s="463"/>
      <c r="X232" s="463"/>
    </row>
    <row r="233" spans="1:24">
      <c r="A233" s="463"/>
      <c r="B233" s="463"/>
      <c r="C233" s="463"/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3"/>
      <c r="Q233" s="463"/>
      <c r="R233" s="463"/>
      <c r="S233" s="463"/>
      <c r="T233" s="462"/>
      <c r="U233" s="462"/>
      <c r="V233" s="463"/>
      <c r="W233" s="463"/>
      <c r="X233" s="463"/>
    </row>
    <row r="234" spans="1:24">
      <c r="A234" s="463"/>
      <c r="B234" s="463"/>
      <c r="C234" s="463"/>
      <c r="D234" s="463"/>
      <c r="E234" s="463"/>
      <c r="F234" s="463"/>
      <c r="G234" s="463"/>
      <c r="H234" s="463"/>
      <c r="I234" s="463"/>
      <c r="J234" s="463"/>
      <c r="K234" s="463"/>
      <c r="L234" s="463"/>
      <c r="M234" s="463"/>
      <c r="N234" s="463"/>
      <c r="O234" s="463"/>
      <c r="P234" s="463"/>
      <c r="Q234" s="463"/>
      <c r="R234" s="463"/>
      <c r="S234" s="463"/>
      <c r="T234" s="462"/>
      <c r="U234" s="462"/>
      <c r="V234" s="463"/>
      <c r="W234" s="463"/>
      <c r="X234" s="463"/>
    </row>
    <row r="235" spans="1:24">
      <c r="A235" s="463"/>
      <c r="B235" s="463"/>
      <c r="C235" s="463"/>
      <c r="D235" s="463"/>
      <c r="E235" s="463"/>
      <c r="F235" s="463"/>
      <c r="G235" s="463"/>
      <c r="H235" s="463"/>
      <c r="I235" s="463"/>
      <c r="J235" s="463"/>
      <c r="K235" s="463"/>
      <c r="L235" s="463"/>
      <c r="M235" s="463"/>
      <c r="N235" s="463"/>
      <c r="O235" s="463"/>
      <c r="P235" s="463"/>
      <c r="Q235" s="463"/>
      <c r="R235" s="463"/>
      <c r="S235" s="463"/>
      <c r="T235" s="462"/>
      <c r="U235" s="462"/>
      <c r="V235" s="463"/>
      <c r="W235" s="463"/>
      <c r="X235" s="463"/>
    </row>
  </sheetData>
  <sheetProtection password="9853" sheet="1" objects="1" scenarios="1" selectLockedCells="1"/>
  <protectedRanges>
    <protectedRange sqref="E20:G20 F27 F10:G16" name="Desprotegidas"/>
  </protectedRanges>
  <mergeCells count="13">
    <mergeCell ref="K3:M3"/>
    <mergeCell ref="K5:M5"/>
    <mergeCell ref="F3:H3"/>
    <mergeCell ref="F5:H5"/>
    <mergeCell ref="F11:G11"/>
    <mergeCell ref="I9:K9"/>
    <mergeCell ref="F16:G16"/>
    <mergeCell ref="F13:G13"/>
    <mergeCell ref="E9:G9"/>
    <mergeCell ref="F10:G10"/>
    <mergeCell ref="F12:G12"/>
    <mergeCell ref="F14:G14"/>
    <mergeCell ref="F15:G15"/>
  </mergeCells>
  <phoneticPr fontId="12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Y67"/>
  <sheetViews>
    <sheetView showGridLines="0" zoomScale="70" zoomScaleNormal="70" zoomScaleSheetLayoutView="75" workbookViewId="0">
      <selection activeCell="E13" sqref="E13:G13"/>
    </sheetView>
  </sheetViews>
  <sheetFormatPr baseColWidth="10" defaultRowHeight="12.5"/>
  <cols>
    <col min="1" max="1" width="6.7265625" customWidth="1"/>
    <col min="2" max="2" width="8.7265625" customWidth="1"/>
    <col min="3" max="3" width="13.26953125" customWidth="1"/>
    <col min="4" max="4" width="19.54296875" customWidth="1"/>
    <col min="5" max="5" width="17.54296875" customWidth="1"/>
    <col min="6" max="6" width="18.81640625" customWidth="1"/>
    <col min="7" max="7" width="14.26953125" customWidth="1"/>
    <col min="8" max="8" width="17.81640625" bestFit="1" customWidth="1"/>
    <col min="9" max="9" width="17" customWidth="1"/>
    <col min="10" max="10" width="16.7265625" customWidth="1"/>
    <col min="11" max="12" width="15.81640625" customWidth="1"/>
    <col min="13" max="13" width="0.1796875" customWidth="1"/>
    <col min="14" max="14" width="13.1796875" customWidth="1"/>
    <col min="16" max="16" width="8.7265625" customWidth="1"/>
    <col min="18" max="19" width="8.7265625" customWidth="1"/>
    <col min="20" max="20" width="8.54296875" customWidth="1"/>
    <col min="21" max="21" width="9.26953125" customWidth="1"/>
    <col min="22" max="22" width="9.453125" customWidth="1"/>
    <col min="23" max="23" width="10.1796875" customWidth="1"/>
  </cols>
  <sheetData>
    <row r="1" spans="1:25" ht="13" thickBot="1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5">
      <c r="A2" s="324"/>
      <c r="B2" s="423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5"/>
      <c r="P2" s="422"/>
      <c r="Q2" s="422"/>
    </row>
    <row r="3" spans="1:25" ht="15.5">
      <c r="A3" s="324"/>
      <c r="B3" s="426"/>
      <c r="C3" s="321"/>
      <c r="D3" s="321" t="s">
        <v>172</v>
      </c>
      <c r="E3" s="427" t="str">
        <f>Consumption!D3</f>
        <v>HOUSING</v>
      </c>
      <c r="F3" s="427"/>
      <c r="G3" s="427"/>
      <c r="H3" s="321"/>
      <c r="I3" s="321" t="s">
        <v>174</v>
      </c>
      <c r="J3" s="421" t="str">
        <f>Consumption!H3</f>
        <v>POLAND</v>
      </c>
      <c r="K3" s="421"/>
      <c r="L3" s="421"/>
      <c r="M3" s="428"/>
      <c r="N3" s="429"/>
      <c r="O3" s="430"/>
      <c r="P3" s="422"/>
      <c r="Q3" s="422"/>
      <c r="R3" s="221"/>
      <c r="S3" s="221"/>
      <c r="T3" s="221"/>
      <c r="U3" s="221"/>
      <c r="V3" s="221"/>
      <c r="W3" s="221"/>
      <c r="X3" s="221"/>
      <c r="Y3" s="221"/>
    </row>
    <row r="4" spans="1:25">
      <c r="A4" s="324"/>
      <c r="B4" s="426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422"/>
      <c r="Q4" s="422"/>
      <c r="R4" s="221"/>
      <c r="S4" s="221"/>
      <c r="T4" s="221"/>
      <c r="U4" s="221"/>
      <c r="V4" s="221"/>
      <c r="W4" s="221"/>
      <c r="X4" s="221"/>
      <c r="Y4" s="221"/>
    </row>
    <row r="5" spans="1:25" ht="15.5">
      <c r="A5" s="324"/>
      <c r="B5" s="426"/>
      <c r="C5" s="431"/>
      <c r="D5" s="321" t="s">
        <v>173</v>
      </c>
      <c r="E5" s="432" t="str">
        <f>Consumption!D5</f>
        <v>VIPSKILLS</v>
      </c>
      <c r="F5" s="432"/>
      <c r="G5" s="432"/>
      <c r="H5" s="321"/>
      <c r="I5" s="321" t="s">
        <v>175</v>
      </c>
      <c r="J5" s="421">
        <f>Consumption!H5</f>
        <v>42920</v>
      </c>
      <c r="K5" s="421"/>
      <c r="L5" s="421"/>
      <c r="M5" s="428"/>
      <c r="N5" s="429"/>
      <c r="O5" s="430"/>
      <c r="P5" s="422"/>
      <c r="Q5" s="422"/>
      <c r="R5" s="221"/>
      <c r="S5" s="221"/>
      <c r="T5" s="221"/>
      <c r="U5" s="221"/>
      <c r="V5" s="221"/>
      <c r="W5" s="221"/>
      <c r="X5" s="221"/>
      <c r="Y5" s="221"/>
    </row>
    <row r="6" spans="1:25" ht="20">
      <c r="A6" s="324"/>
      <c r="B6" s="426"/>
      <c r="C6" s="431"/>
      <c r="D6" s="433"/>
      <c r="E6" s="330"/>
      <c r="F6" s="330"/>
      <c r="G6" s="330"/>
      <c r="H6" s="330"/>
      <c r="I6" s="330"/>
      <c r="J6" s="330"/>
      <c r="K6" s="330"/>
      <c r="L6" s="330"/>
      <c r="M6" s="428"/>
      <c r="N6" s="429"/>
      <c r="O6" s="430"/>
      <c r="P6" s="422"/>
      <c r="Q6" s="422"/>
      <c r="R6" s="221"/>
      <c r="S6" s="221"/>
      <c r="T6" s="221"/>
      <c r="U6" s="221"/>
      <c r="V6" s="221"/>
      <c r="W6" s="221"/>
      <c r="X6" s="221"/>
      <c r="Y6" s="221"/>
    </row>
    <row r="7" spans="1:25" ht="20">
      <c r="A7" s="324"/>
      <c r="B7" s="426"/>
      <c r="C7" s="434" t="s">
        <v>244</v>
      </c>
      <c r="D7" s="330"/>
      <c r="E7" s="330"/>
      <c r="F7" s="330"/>
      <c r="G7" s="324"/>
      <c r="H7" s="324"/>
      <c r="I7" s="324"/>
      <c r="J7" s="324"/>
      <c r="K7" s="324"/>
      <c r="L7" s="324"/>
      <c r="M7" s="324"/>
      <c r="N7" s="324"/>
      <c r="O7" s="325"/>
      <c r="P7" s="422"/>
      <c r="Q7" s="422"/>
      <c r="R7" s="221"/>
      <c r="S7" s="221"/>
      <c r="T7" s="221"/>
      <c r="U7" s="221"/>
      <c r="V7" s="221"/>
      <c r="W7" s="221"/>
      <c r="X7" s="221"/>
      <c r="Y7" s="221"/>
    </row>
    <row r="8" spans="1:25" ht="20">
      <c r="A8" s="324"/>
      <c r="B8" s="426"/>
      <c r="C8" s="434"/>
      <c r="D8" s="330"/>
      <c r="E8" s="330"/>
      <c r="F8" s="330"/>
      <c r="G8" s="324"/>
      <c r="H8" s="324"/>
      <c r="I8" s="324"/>
      <c r="J8" s="324"/>
      <c r="K8" s="324"/>
      <c r="L8" s="324"/>
      <c r="M8" s="324"/>
      <c r="N8" s="324"/>
      <c r="O8" s="325"/>
      <c r="P8" s="422"/>
      <c r="Q8" s="422"/>
      <c r="R8" s="221"/>
      <c r="S8" s="221"/>
      <c r="T8" s="221"/>
      <c r="U8" s="221"/>
      <c r="V8" s="221"/>
      <c r="W8" s="221"/>
      <c r="X8" s="221"/>
      <c r="Y8" s="221"/>
    </row>
    <row r="9" spans="1:25" ht="18" customHeight="1" thickBot="1">
      <c r="A9" s="324"/>
      <c r="B9" s="426"/>
      <c r="C9" s="324"/>
      <c r="D9" s="435"/>
      <c r="E9" s="435"/>
      <c r="F9" s="324"/>
      <c r="G9" s="324"/>
      <c r="H9" s="324"/>
      <c r="I9" s="324"/>
      <c r="J9" s="324"/>
      <c r="K9" s="324"/>
      <c r="L9" s="324"/>
      <c r="M9" s="324"/>
      <c r="N9" s="324"/>
      <c r="O9" s="325"/>
      <c r="P9" s="422"/>
      <c r="Q9" s="422"/>
      <c r="R9" s="221"/>
      <c r="S9" s="221"/>
      <c r="T9" s="221"/>
      <c r="U9" s="221"/>
      <c r="V9" s="221"/>
      <c r="W9" s="221"/>
      <c r="X9" s="221"/>
      <c r="Y9" s="221"/>
    </row>
    <row r="10" spans="1:25" ht="18" customHeight="1" thickBot="1">
      <c r="A10" s="324"/>
      <c r="B10" s="426"/>
      <c r="C10" s="324"/>
      <c r="D10" s="436" t="s">
        <v>245</v>
      </c>
      <c r="E10" s="437"/>
      <c r="F10" s="437"/>
      <c r="G10" s="438"/>
      <c r="H10" s="324"/>
      <c r="I10" s="324"/>
      <c r="J10" s="324"/>
      <c r="K10" s="324"/>
      <c r="L10" s="324"/>
      <c r="M10" s="439"/>
      <c r="N10" s="324"/>
      <c r="O10" s="325"/>
      <c r="P10" s="422"/>
      <c r="Q10" s="422"/>
      <c r="R10" s="221"/>
      <c r="S10" s="221"/>
      <c r="T10" s="221"/>
      <c r="U10" s="221"/>
      <c r="V10" s="221"/>
      <c r="W10" s="221"/>
      <c r="X10" s="221"/>
      <c r="Y10" s="221"/>
    </row>
    <row r="11" spans="1:25" ht="14.5">
      <c r="A11" s="324"/>
      <c r="B11" s="426"/>
      <c r="C11" s="324"/>
      <c r="D11" s="440" t="s">
        <v>246</v>
      </c>
      <c r="E11" s="414"/>
      <c r="F11" s="415"/>
      <c r="G11" s="415"/>
      <c r="H11" s="441"/>
      <c r="I11" s="324"/>
      <c r="J11" s="324"/>
      <c r="K11" s="324"/>
      <c r="L11" s="324"/>
      <c r="M11" s="442"/>
      <c r="N11" s="324"/>
      <c r="O11" s="325"/>
      <c r="P11" s="422"/>
      <c r="Q11" s="422"/>
      <c r="R11" s="221"/>
      <c r="S11" s="221"/>
      <c r="T11" s="221"/>
      <c r="U11" s="221"/>
      <c r="V11" s="221"/>
      <c r="W11" s="221"/>
      <c r="X11" s="221"/>
      <c r="Y11" s="221"/>
    </row>
    <row r="12" spans="1:25" ht="30.75" customHeight="1">
      <c r="A12" s="324"/>
      <c r="B12" s="426"/>
      <c r="C12" s="324"/>
      <c r="D12" s="440" t="s">
        <v>247</v>
      </c>
      <c r="E12" s="416"/>
      <c r="F12" s="417"/>
      <c r="G12" s="417"/>
      <c r="H12" s="441"/>
      <c r="I12" s="324"/>
      <c r="J12" s="324"/>
      <c r="K12" s="324"/>
      <c r="L12" s="324"/>
      <c r="M12" s="439"/>
      <c r="N12" s="324"/>
      <c r="O12" s="325"/>
      <c r="P12" s="422"/>
      <c r="Q12" s="422"/>
      <c r="R12" s="221"/>
      <c r="S12" s="221"/>
      <c r="T12" s="221"/>
      <c r="U12" s="221"/>
      <c r="V12" s="221"/>
      <c r="W12" s="221"/>
      <c r="X12" s="221"/>
      <c r="Y12" s="221"/>
    </row>
    <row r="13" spans="1:25" ht="30" customHeight="1">
      <c r="A13" s="324"/>
      <c r="B13" s="426"/>
      <c r="C13" s="324"/>
      <c r="D13" s="443" t="s">
        <v>248</v>
      </c>
      <c r="E13" s="417">
        <v>70</v>
      </c>
      <c r="F13" s="417"/>
      <c r="G13" s="417"/>
      <c r="H13" s="441"/>
      <c r="I13" s="324"/>
      <c r="J13" s="324"/>
      <c r="K13" s="324"/>
      <c r="L13" s="324"/>
      <c r="M13" s="439"/>
      <c r="N13" s="324"/>
      <c r="O13" s="325"/>
      <c r="P13" s="422"/>
      <c r="Q13" s="422"/>
      <c r="R13" s="221"/>
      <c r="S13" s="221"/>
      <c r="T13" s="221"/>
      <c r="U13" s="221"/>
      <c r="V13" s="221"/>
      <c r="W13" s="221"/>
      <c r="X13" s="221"/>
      <c r="Y13" s="221"/>
    </row>
    <row r="14" spans="1:25" ht="30" customHeight="1">
      <c r="A14" s="324"/>
      <c r="B14" s="426"/>
      <c r="C14" s="324"/>
      <c r="D14" s="440" t="s">
        <v>62</v>
      </c>
      <c r="E14" s="376">
        <v>17.399999999999999</v>
      </c>
      <c r="F14" s="444" t="s">
        <v>64</v>
      </c>
      <c r="G14" s="418">
        <v>21.7</v>
      </c>
      <c r="H14" s="441"/>
      <c r="I14" s="324"/>
      <c r="J14" s="324"/>
      <c r="K14" s="324"/>
      <c r="L14" s="324"/>
      <c r="M14" s="439"/>
      <c r="N14" s="324"/>
      <c r="O14" s="325"/>
      <c r="P14" s="422"/>
      <c r="Q14" s="422"/>
      <c r="R14" s="221"/>
      <c r="S14" s="221"/>
      <c r="T14" s="221"/>
      <c r="U14" s="221"/>
      <c r="V14" s="221"/>
      <c r="W14" s="221"/>
      <c r="X14" s="221"/>
      <c r="Y14" s="221"/>
    </row>
    <row r="15" spans="1:25" ht="30" customHeight="1">
      <c r="A15" s="324"/>
      <c r="B15" s="426"/>
      <c r="C15" s="324"/>
      <c r="D15" s="443" t="s">
        <v>63</v>
      </c>
      <c r="E15" s="376">
        <v>4.1399999999999997</v>
      </c>
      <c r="F15" s="445" t="s">
        <v>65</v>
      </c>
      <c r="G15" s="418">
        <v>5.01</v>
      </c>
      <c r="H15" s="441"/>
      <c r="I15" s="324"/>
      <c r="J15" s="324"/>
      <c r="K15" s="324"/>
      <c r="L15" s="324"/>
      <c r="M15" s="439"/>
      <c r="N15" s="324"/>
      <c r="O15" s="325"/>
      <c r="P15" s="422"/>
      <c r="Q15" s="422"/>
      <c r="R15" s="221"/>
      <c r="S15" s="221"/>
      <c r="T15" s="221"/>
      <c r="U15" s="221"/>
      <c r="V15" s="221"/>
      <c r="W15" s="221"/>
      <c r="X15" s="221"/>
      <c r="Y15" s="221"/>
    </row>
    <row r="16" spans="1:25" ht="30" customHeight="1">
      <c r="A16" s="324"/>
      <c r="B16" s="426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439"/>
      <c r="N16" s="324"/>
      <c r="O16" s="325"/>
      <c r="P16" s="422"/>
      <c r="Q16" s="422"/>
      <c r="R16" s="221"/>
      <c r="S16" s="221"/>
      <c r="T16" s="221"/>
      <c r="U16" s="221"/>
      <c r="V16" s="221"/>
      <c r="W16" s="221"/>
      <c r="X16" s="221"/>
      <c r="Y16" s="221"/>
    </row>
    <row r="17" spans="1:25" ht="30" customHeight="1" thickBot="1">
      <c r="A17" s="324"/>
      <c r="B17" s="426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439"/>
      <c r="N17" s="324"/>
      <c r="O17" s="325"/>
      <c r="P17" s="422"/>
      <c r="Q17" s="422"/>
      <c r="R17" s="221"/>
      <c r="S17" s="221"/>
      <c r="T17" s="221"/>
      <c r="U17" s="221"/>
      <c r="V17" s="221"/>
      <c r="W17" s="221"/>
      <c r="X17" s="221"/>
      <c r="Y17" s="221"/>
    </row>
    <row r="18" spans="1:25" ht="39.5" thickBot="1">
      <c r="A18" s="324"/>
      <c r="B18" s="426"/>
      <c r="C18" s="324"/>
      <c r="D18" s="446" t="s">
        <v>249</v>
      </c>
      <c r="E18" s="447" t="s">
        <v>13</v>
      </c>
      <c r="F18" s="448" t="s">
        <v>250</v>
      </c>
      <c r="G18" s="449" t="s">
        <v>251</v>
      </c>
      <c r="H18" s="450" t="s">
        <v>252</v>
      </c>
      <c r="I18" s="450" t="s">
        <v>253</v>
      </c>
      <c r="J18" s="447" t="s">
        <v>254</v>
      </c>
      <c r="K18" s="447" t="s">
        <v>255</v>
      </c>
      <c r="L18" s="450" t="s">
        <v>256</v>
      </c>
      <c r="M18" s="451"/>
      <c r="N18" s="324"/>
      <c r="O18" s="325"/>
      <c r="P18" s="422"/>
      <c r="Q18" s="422"/>
      <c r="R18" s="221"/>
      <c r="S18" s="221"/>
      <c r="T18" s="221"/>
      <c r="U18" s="221"/>
      <c r="V18" s="221"/>
      <c r="W18" s="221"/>
      <c r="X18" s="221"/>
      <c r="Y18" s="221"/>
    </row>
    <row r="19" spans="1:25" ht="15.5">
      <c r="A19" s="324"/>
      <c r="B19" s="426"/>
      <c r="C19" s="324"/>
      <c r="D19" s="94">
        <f>'Inclination angle'!S21</f>
        <v>33.827685615572172</v>
      </c>
      <c r="E19" s="419">
        <v>0.95</v>
      </c>
      <c r="F19" s="94">
        <f>D19/E19</f>
        <v>35.608090121654918</v>
      </c>
      <c r="G19" s="94">
        <f>E15</f>
        <v>4.1399999999999997</v>
      </c>
      <c r="H19" s="103">
        <f>ROUNDUP(F19/G19,0)</f>
        <v>9</v>
      </c>
      <c r="I19" s="103">
        <f>ROUNDUP(C22/E14,0)</f>
        <v>13</v>
      </c>
      <c r="J19" s="420">
        <v>1</v>
      </c>
      <c r="K19" s="420">
        <v>1</v>
      </c>
      <c r="L19" s="123">
        <f>G22*E13</f>
        <v>70</v>
      </c>
      <c r="M19" s="439"/>
      <c r="N19" s="324"/>
      <c r="O19" s="325"/>
      <c r="P19" s="422"/>
      <c r="Q19" s="422"/>
      <c r="R19" s="221"/>
      <c r="S19" s="221"/>
      <c r="T19" s="221"/>
      <c r="U19" s="221"/>
      <c r="V19" s="221"/>
      <c r="W19" s="221"/>
      <c r="X19" s="221"/>
      <c r="Y19" s="221"/>
    </row>
    <row r="20" spans="1:25" ht="13.5" thickBot="1">
      <c r="A20" s="324"/>
      <c r="B20" s="426"/>
      <c r="C20" s="324"/>
      <c r="D20" s="324"/>
      <c r="E20" s="324"/>
      <c r="F20" s="324"/>
      <c r="G20" s="324"/>
      <c r="H20" s="324"/>
      <c r="I20" s="452"/>
      <c r="J20" s="324"/>
      <c r="K20" s="452"/>
      <c r="L20" s="324"/>
      <c r="M20" s="439"/>
      <c r="N20" s="324"/>
      <c r="O20" s="325"/>
      <c r="P20" s="422"/>
      <c r="Q20" s="422"/>
      <c r="R20" s="221"/>
      <c r="S20" s="221"/>
      <c r="T20" s="221"/>
      <c r="U20" s="221"/>
      <c r="V20" s="221"/>
      <c r="W20" s="221"/>
      <c r="X20" s="221"/>
      <c r="Y20" s="221"/>
    </row>
    <row r="21" spans="1:25" ht="24" customHeight="1" thickBot="1">
      <c r="A21" s="324"/>
      <c r="B21" s="426"/>
      <c r="C21" s="446" t="s">
        <v>266</v>
      </c>
      <c r="D21" s="448" t="s">
        <v>280</v>
      </c>
      <c r="E21" s="453" t="s">
        <v>257</v>
      </c>
      <c r="F21" s="453" t="s">
        <v>258</v>
      </c>
      <c r="G21" s="454" t="s">
        <v>259</v>
      </c>
      <c r="H21" s="455" t="s">
        <v>266</v>
      </c>
      <c r="I21" s="448" t="s">
        <v>281</v>
      </c>
      <c r="J21" s="448" t="s">
        <v>282</v>
      </c>
      <c r="K21" s="447" t="s">
        <v>260</v>
      </c>
      <c r="L21" s="448" t="s">
        <v>261</v>
      </c>
      <c r="M21" s="456"/>
      <c r="N21" s="457" t="s">
        <v>262</v>
      </c>
      <c r="O21" s="325"/>
      <c r="P21" s="422"/>
      <c r="Q21" s="422"/>
      <c r="R21" s="222">
        <f>Battery!G27</f>
        <v>75.599999999999994</v>
      </c>
      <c r="S21" s="223">
        <f>'Inclination angle'!R21</f>
        <v>6.098612103838045</v>
      </c>
      <c r="T21" s="221" t="e">
        <f>(1/SQRT(5))*((((1+SQRT(5))/2)^S22)-(((1-SQRT(5))/2)^S22))</f>
        <v>#REF!</v>
      </c>
      <c r="U21" s="221" t="e">
        <f>R21/(S21*T21)</f>
        <v>#REF!</v>
      </c>
      <c r="V21" s="224">
        <f>'Inclination angle'!S21</f>
        <v>33.827685615572172</v>
      </c>
      <c r="W21" s="224" t="e">
        <f>V21-U21</f>
        <v>#REF!</v>
      </c>
      <c r="X21" s="221"/>
      <c r="Y21" s="221"/>
    </row>
    <row r="22" spans="1:25" ht="20.149999999999999" customHeight="1">
      <c r="A22" s="324"/>
      <c r="B22" s="426"/>
      <c r="C22" s="103">
        <f>IF('Inclination angle'!O12=2,'Inclination angle'!#REF!,Consumption!F34)</f>
        <v>220</v>
      </c>
      <c r="D22" s="94">
        <v>12</v>
      </c>
      <c r="E22" s="109">
        <f>J19</f>
        <v>1</v>
      </c>
      <c r="F22" s="109">
        <f>K19</f>
        <v>1</v>
      </c>
      <c r="G22" s="109">
        <f>E22*F22</f>
        <v>1</v>
      </c>
      <c r="H22" s="94">
        <f>G14*F22</f>
        <v>21.7</v>
      </c>
      <c r="I22" s="94">
        <f>IF(Battery!F14&lt;3,(PV!C22/2)*Battery!F14,Battery!F14*PV!F22)</f>
        <v>0</v>
      </c>
      <c r="J22" s="94">
        <f>IF(Battery!F15&lt;3,(PV!C22/2)*Battery!F15,Battery!F15*PV!F22)</f>
        <v>0</v>
      </c>
      <c r="K22" s="285">
        <v>20</v>
      </c>
      <c r="L22" s="94">
        <f>K22+((47-20)/800)*900</f>
        <v>50.375</v>
      </c>
      <c r="M22" s="40">
        <f>(((L22-25)*0.5)*H22)/100</f>
        <v>2.7531874999999997</v>
      </c>
      <c r="N22" s="103">
        <f>H22-M22</f>
        <v>18.9468125</v>
      </c>
      <c r="O22" s="325"/>
      <c r="P22" s="422"/>
      <c r="Q22" s="422"/>
      <c r="R22" s="221"/>
      <c r="S22" s="221" t="e">
        <f>IF(#REF!=1,7,IF(#REF!=2,8,IF(#REF!=3,9,IF(#REF!=4,10,IF(#REF!=5,11,"")))))</f>
        <v>#REF!</v>
      </c>
      <c r="T22" s="221"/>
      <c r="U22" s="221"/>
      <c r="V22" s="221"/>
      <c r="W22" s="221"/>
      <c r="X22" s="221"/>
      <c r="Y22" s="221"/>
    </row>
    <row r="23" spans="1:25">
      <c r="A23" s="324"/>
      <c r="B23" s="426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5"/>
      <c r="P23" s="422"/>
      <c r="Q23" s="422"/>
      <c r="R23" s="221"/>
      <c r="S23" s="221"/>
      <c r="T23" s="221"/>
      <c r="U23" s="221"/>
      <c r="V23" s="221"/>
      <c r="W23" s="221"/>
      <c r="X23" s="221"/>
      <c r="Y23" s="221"/>
    </row>
    <row r="24" spans="1:25" ht="24" customHeight="1">
      <c r="A24" s="324"/>
      <c r="B24" s="426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5"/>
      <c r="P24" s="422"/>
      <c r="Q24" s="422"/>
    </row>
    <row r="25" spans="1:25" ht="12.75" customHeight="1">
      <c r="A25" s="324"/>
      <c r="B25" s="426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5"/>
      <c r="P25" s="422"/>
      <c r="Q25" s="422"/>
    </row>
    <row r="26" spans="1:25" ht="12.75" customHeight="1">
      <c r="A26" s="324"/>
      <c r="B26" s="426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5"/>
      <c r="P26" s="422"/>
      <c r="Q26" s="422"/>
    </row>
    <row r="27" spans="1:25" ht="13" thickBot="1">
      <c r="A27" s="324"/>
      <c r="B27" s="458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60"/>
      <c r="P27" s="422"/>
      <c r="Q27" s="422"/>
    </row>
    <row r="28" spans="1:25" ht="12.75" customHeight="1">
      <c r="A28" s="324"/>
      <c r="B28" s="324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</row>
    <row r="29" spans="1:25">
      <c r="A29" s="324"/>
      <c r="B29" s="324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</row>
    <row r="30" spans="1:25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</row>
    <row r="31" spans="1:25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</row>
    <row r="32" spans="1:25" s="226" customFormat="1"/>
    <row r="33" s="226" customFormat="1"/>
    <row r="34" s="226" customFormat="1"/>
    <row r="35" s="226" customFormat="1"/>
    <row r="36" s="226" customFormat="1"/>
    <row r="37" s="226" customFormat="1"/>
    <row r="38" s="226" customFormat="1"/>
    <row r="39" s="226" customFormat="1"/>
    <row r="40" s="226" customFormat="1"/>
    <row r="41" s="226" customFormat="1"/>
    <row r="42" s="226" customFormat="1"/>
    <row r="43" s="226" customFormat="1"/>
    <row r="44" s="226" customFormat="1"/>
    <row r="45" s="226" customFormat="1"/>
    <row r="46" s="226" customFormat="1"/>
    <row r="47" s="226" customFormat="1"/>
    <row r="48" s="226" customFormat="1"/>
    <row r="49" s="226" customFormat="1"/>
    <row r="50" s="226" customFormat="1"/>
    <row r="51" s="226" customFormat="1"/>
    <row r="52" s="226" customFormat="1"/>
    <row r="53" s="226" customFormat="1"/>
    <row r="54" s="226" customFormat="1"/>
    <row r="55" s="226" customFormat="1"/>
    <row r="56" s="226" customFormat="1"/>
    <row r="57" s="226" customFormat="1"/>
    <row r="58" s="226" customFormat="1"/>
    <row r="59" s="226" customFormat="1"/>
    <row r="60" s="226" customFormat="1"/>
    <row r="61" s="226" customFormat="1"/>
    <row r="62" s="226" customFormat="1"/>
    <row r="63" s="226" customFormat="1"/>
    <row r="64" s="226" customFormat="1"/>
    <row r="65" s="226" customFormat="1"/>
    <row r="66" s="226" customFormat="1"/>
    <row r="67" s="226" customFormat="1"/>
  </sheetData>
  <sheetProtection password="9853" sheet="1" objects="1" scenarios="1" selectLockedCells="1"/>
  <protectedRanges>
    <protectedRange sqref="E11:G13 E14:E15 G14:G15" name="Información Módulo"/>
    <protectedRange sqref="D13:D14 E19" name="desprotegidas"/>
  </protectedRanges>
  <mergeCells count="8">
    <mergeCell ref="E12:G12"/>
    <mergeCell ref="E13:G13"/>
    <mergeCell ref="J3:L3"/>
    <mergeCell ref="J5:L5"/>
    <mergeCell ref="E3:G3"/>
    <mergeCell ref="E5:G5"/>
    <mergeCell ref="E11:G11"/>
    <mergeCell ref="D10:G10"/>
  </mergeCells>
  <phoneticPr fontId="12" type="noConversion"/>
  <printOptions horizontalCentered="1" verticalCentered="1"/>
  <pageMargins left="0" right="0" top="0" bottom="0" header="0" footer="0"/>
  <pageSetup paperSize="9" scale="70" orientation="landscape" horizontalDpi="300" verticalDpi="300" r:id="rId1"/>
  <headerFooter alignWithMargins="0"/>
  <cellWatches>
    <cellWatch r="L22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T33"/>
  <sheetViews>
    <sheetView showGridLines="0" zoomScale="80" zoomScaleNormal="80" workbookViewId="0">
      <selection activeCell="E10" sqref="E10:G10"/>
    </sheetView>
  </sheetViews>
  <sheetFormatPr baseColWidth="10" defaultRowHeight="12.5"/>
  <cols>
    <col min="1" max="1" width="6.7265625" customWidth="1"/>
    <col min="2" max="2" width="8.7265625" customWidth="1"/>
    <col min="4" max="4" width="15.26953125" bestFit="1" customWidth="1"/>
    <col min="5" max="5" width="15" bestFit="1" customWidth="1"/>
    <col min="6" max="6" width="17.1796875" bestFit="1" customWidth="1"/>
    <col min="7" max="7" width="15" customWidth="1"/>
    <col min="9" max="9" width="13.81640625" bestFit="1" customWidth="1"/>
  </cols>
  <sheetData>
    <row r="1" spans="1:20" ht="13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>
      <c r="A2" s="11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74"/>
      <c r="N2" s="119"/>
      <c r="O2" s="115"/>
      <c r="P2" s="115"/>
      <c r="Q2" s="115"/>
      <c r="R2" s="115"/>
      <c r="S2" s="115"/>
    </row>
    <row r="3" spans="1:20" ht="15.5">
      <c r="A3" s="117"/>
      <c r="B3" s="211"/>
      <c r="C3" s="117"/>
      <c r="D3" s="116" t="s">
        <v>172</v>
      </c>
      <c r="E3" s="187" t="str">
        <f>Consumption!D3</f>
        <v>HOUSING</v>
      </c>
      <c r="F3" s="187"/>
      <c r="G3" s="187"/>
      <c r="H3" s="130"/>
      <c r="I3" s="116" t="s">
        <v>174</v>
      </c>
      <c r="J3" s="187" t="str">
        <f>Consumption!H3</f>
        <v>POLAND</v>
      </c>
      <c r="K3" s="187"/>
      <c r="L3" s="187"/>
      <c r="M3" s="275"/>
      <c r="N3" s="120"/>
      <c r="O3" s="115"/>
      <c r="P3" s="115"/>
      <c r="Q3" s="115"/>
      <c r="R3" s="115"/>
      <c r="S3" s="115"/>
    </row>
    <row r="4" spans="1:20">
      <c r="A4" s="117"/>
      <c r="B4" s="211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212"/>
      <c r="N4" s="117"/>
      <c r="O4" s="115"/>
      <c r="P4" s="115"/>
      <c r="Q4" s="115"/>
      <c r="R4" s="115"/>
      <c r="S4" s="115"/>
    </row>
    <row r="5" spans="1:20" ht="15.5">
      <c r="A5" s="117"/>
      <c r="B5" s="211"/>
      <c r="C5" s="117"/>
      <c r="D5" s="116" t="s">
        <v>173</v>
      </c>
      <c r="E5" s="187" t="str">
        <f>Consumption!D5</f>
        <v>VIPSKILLS</v>
      </c>
      <c r="F5" s="187"/>
      <c r="G5" s="187"/>
      <c r="H5" s="130"/>
      <c r="I5" s="116" t="s">
        <v>175</v>
      </c>
      <c r="J5" s="188">
        <f>Consumption!H5</f>
        <v>42920</v>
      </c>
      <c r="K5" s="188"/>
      <c r="L5" s="188"/>
      <c r="M5" s="275"/>
      <c r="N5" s="120"/>
      <c r="O5" s="115"/>
      <c r="P5" s="115"/>
      <c r="Q5" s="115"/>
      <c r="R5" s="115"/>
      <c r="S5" s="115"/>
    </row>
    <row r="6" spans="1:20">
      <c r="A6" s="117"/>
      <c r="B6" s="211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275"/>
      <c r="N6" s="120"/>
      <c r="O6" s="115"/>
      <c r="P6" s="115"/>
      <c r="Q6" s="115"/>
      <c r="R6" s="115"/>
      <c r="S6" s="115"/>
    </row>
    <row r="7" spans="1:20" ht="20">
      <c r="A7" s="117"/>
      <c r="B7" s="211"/>
      <c r="C7" s="128" t="s">
        <v>263</v>
      </c>
      <c r="D7" s="117"/>
      <c r="E7" s="117"/>
      <c r="F7" s="129"/>
      <c r="G7" s="129"/>
      <c r="H7" s="129"/>
      <c r="I7" s="129"/>
      <c r="J7" s="117"/>
      <c r="K7" s="117"/>
      <c r="L7" s="117"/>
      <c r="M7" s="212"/>
      <c r="N7" s="115"/>
      <c r="O7" s="115"/>
      <c r="P7" s="115"/>
      <c r="Q7" s="115"/>
      <c r="R7" s="115"/>
      <c r="S7" s="115"/>
    </row>
    <row r="8" spans="1:20" ht="20.5" thickBot="1">
      <c r="A8" s="117"/>
      <c r="B8" s="211"/>
      <c r="C8" s="129"/>
      <c r="D8" s="117"/>
      <c r="E8" s="117"/>
      <c r="F8" s="129"/>
      <c r="G8" s="129"/>
      <c r="H8" s="129"/>
      <c r="I8" s="129"/>
      <c r="J8" s="117"/>
      <c r="K8" s="117"/>
      <c r="L8" s="117"/>
      <c r="M8" s="212"/>
      <c r="N8" s="115"/>
      <c r="O8" s="115"/>
      <c r="P8" s="115"/>
      <c r="Q8" s="115"/>
      <c r="R8" s="115"/>
      <c r="S8" s="115"/>
    </row>
    <row r="9" spans="1:20" ht="20.5" thickBot="1">
      <c r="A9" s="117"/>
      <c r="B9" s="211"/>
      <c r="C9" s="129"/>
      <c r="D9" s="228" t="s">
        <v>264</v>
      </c>
      <c r="E9" s="229"/>
      <c r="F9" s="229"/>
      <c r="G9" s="230"/>
      <c r="H9" s="129"/>
      <c r="I9" s="276" t="s">
        <v>292</v>
      </c>
      <c r="J9" s="276"/>
      <c r="K9" s="276"/>
      <c r="L9" s="276"/>
      <c r="M9" s="212"/>
      <c r="N9" s="115"/>
      <c r="O9" s="115"/>
      <c r="P9" s="115"/>
      <c r="Q9" s="115"/>
      <c r="R9" s="115"/>
      <c r="S9" s="115"/>
    </row>
    <row r="10" spans="1:20" ht="20.149999999999999" customHeight="1">
      <c r="A10" s="117"/>
      <c r="B10" s="211"/>
      <c r="C10" s="117"/>
      <c r="D10" s="184" t="s">
        <v>222</v>
      </c>
      <c r="E10" s="411" t="s">
        <v>164</v>
      </c>
      <c r="F10" s="384"/>
      <c r="G10" s="384"/>
      <c r="H10" s="117"/>
      <c r="I10" s="124" t="str">
        <f>IF(E12&lt;&gt;G21,"wrong selected voltage","")</f>
        <v>wrong selected voltage</v>
      </c>
      <c r="J10" s="124"/>
      <c r="K10" s="124"/>
      <c r="L10" s="125"/>
      <c r="M10" s="212"/>
      <c r="N10" s="115"/>
      <c r="O10" s="115"/>
      <c r="P10" s="115"/>
      <c r="Q10" s="115"/>
      <c r="R10" s="115"/>
      <c r="S10" s="115"/>
      <c r="T10" s="226"/>
    </row>
    <row r="11" spans="1:20" ht="20.149999999999999" customHeight="1">
      <c r="A11" s="117"/>
      <c r="B11" s="211"/>
      <c r="C11" s="117"/>
      <c r="D11" s="184" t="s">
        <v>247</v>
      </c>
      <c r="E11" s="412" t="s">
        <v>165</v>
      </c>
      <c r="F11" s="388"/>
      <c r="G11" s="388"/>
      <c r="H11" s="117"/>
      <c r="I11" s="124" t="str">
        <f>IF(G27&gt;1,CONCATENATE("is recomended the division of PV    ",T11,"     SUBCAMPOS"),"")</f>
        <v/>
      </c>
      <c r="J11" s="124"/>
      <c r="K11" s="124"/>
      <c r="L11" s="125"/>
      <c r="M11" s="212"/>
      <c r="N11" s="115"/>
      <c r="O11" s="115"/>
      <c r="P11" s="115"/>
      <c r="Q11" s="115"/>
      <c r="R11" s="115"/>
      <c r="S11" s="115"/>
      <c r="T11" s="227">
        <f>G27</f>
        <v>1</v>
      </c>
    </row>
    <row r="12" spans="1:20" ht="20.149999999999999" customHeight="1" thickBot="1">
      <c r="A12" s="117"/>
      <c r="B12" s="211"/>
      <c r="C12" s="117"/>
      <c r="D12" s="184" t="s">
        <v>180</v>
      </c>
      <c r="E12" s="413">
        <v>48</v>
      </c>
      <c r="F12" s="413"/>
      <c r="G12" s="413"/>
      <c r="H12" s="117"/>
      <c r="I12" s="124" t="str">
        <f>IF(G27&gt;1,CONCATENATE("DE    ",T12,"     PARALLEL Y   ",T13,"    SERIAL"),"")</f>
        <v/>
      </c>
      <c r="J12" s="124"/>
      <c r="K12" s="124"/>
      <c r="L12" s="124"/>
      <c r="M12" s="212"/>
      <c r="N12" s="115"/>
      <c r="O12" s="115"/>
      <c r="P12" s="115"/>
      <c r="Q12" s="115"/>
      <c r="R12" s="115"/>
      <c r="S12" s="115"/>
      <c r="T12" s="221">
        <f>ROUNDUP(PV!E22/T11,0)</f>
        <v>1</v>
      </c>
    </row>
    <row r="13" spans="1:20" ht="19" thickBot="1">
      <c r="A13" s="117"/>
      <c r="B13" s="211"/>
      <c r="C13" s="117"/>
      <c r="D13" s="228" t="s">
        <v>283</v>
      </c>
      <c r="E13" s="229"/>
      <c r="F13" s="229"/>
      <c r="G13" s="230"/>
      <c r="H13" s="117"/>
      <c r="I13" s="124" t="str">
        <f>IF(T15=0,"",CONCATENATE("INCREASE IN    ",T15,"   PANEL/Is MORE EACH BRANCH OF PARALLELS"))</f>
        <v/>
      </c>
      <c r="J13" s="124"/>
      <c r="K13" s="124"/>
      <c r="L13" s="124"/>
      <c r="M13" s="212"/>
      <c r="N13" s="115"/>
      <c r="O13" s="115"/>
      <c r="P13" s="115"/>
      <c r="Q13" s="115"/>
      <c r="R13" s="115"/>
      <c r="S13" s="115"/>
      <c r="T13" s="227">
        <f>PV!F22</f>
        <v>1</v>
      </c>
    </row>
    <row r="14" spans="1:20" ht="20.149999999999999" customHeight="1">
      <c r="A14" s="117"/>
      <c r="B14" s="211"/>
      <c r="C14" s="117"/>
      <c r="D14" s="191" t="s">
        <v>284</v>
      </c>
      <c r="E14" s="191"/>
      <c r="F14" s="191"/>
      <c r="G14" s="409" t="s">
        <v>421</v>
      </c>
      <c r="H14" s="117"/>
      <c r="I14" s="134" t="str">
        <f>IF(T15&gt;2,"THE SELECRTED REGULATOR IS NOT APROPIATED FOR SERIAL/PARALLEL CONFIGURATION","")</f>
        <v/>
      </c>
      <c r="J14" s="124"/>
      <c r="K14" s="124"/>
      <c r="L14" s="124"/>
      <c r="M14" s="212"/>
      <c r="N14" s="115"/>
      <c r="O14" s="115"/>
      <c r="P14" s="115"/>
      <c r="Q14" s="115"/>
      <c r="R14" s="115"/>
      <c r="S14" s="115"/>
      <c r="T14" s="221">
        <f>T11*T12</f>
        <v>1</v>
      </c>
    </row>
    <row r="15" spans="1:20" ht="20.149999999999999" customHeight="1">
      <c r="A15" s="117"/>
      <c r="B15" s="211"/>
      <c r="C15" s="117"/>
      <c r="D15" s="189" t="s">
        <v>285</v>
      </c>
      <c r="E15" s="189"/>
      <c r="F15" s="190"/>
      <c r="G15" s="410" t="s">
        <v>421</v>
      </c>
      <c r="H15" s="117"/>
      <c r="I15" s="117"/>
      <c r="J15" s="132"/>
      <c r="K15" s="117"/>
      <c r="L15" s="117"/>
      <c r="M15" s="212"/>
      <c r="N15" s="115"/>
      <c r="O15" s="115"/>
      <c r="P15" s="115"/>
      <c r="Q15" s="115"/>
      <c r="R15" s="115"/>
      <c r="S15" s="115"/>
      <c r="T15" s="227">
        <f>T14-PV!E22</f>
        <v>0</v>
      </c>
    </row>
    <row r="16" spans="1:20" ht="20.149999999999999" customHeight="1">
      <c r="A16" s="117"/>
      <c r="B16" s="211"/>
      <c r="C16" s="117"/>
      <c r="D16" s="189" t="s">
        <v>286</v>
      </c>
      <c r="E16" s="189"/>
      <c r="F16" s="190"/>
      <c r="G16" s="410" t="s">
        <v>421</v>
      </c>
      <c r="H16" s="131"/>
      <c r="I16" s="117"/>
      <c r="J16" s="130"/>
      <c r="K16" s="117"/>
      <c r="L16" s="117"/>
      <c r="M16" s="212"/>
      <c r="N16" s="115"/>
      <c r="O16" s="115"/>
      <c r="P16" s="115"/>
      <c r="Q16" s="115"/>
      <c r="R16" s="115"/>
      <c r="S16" s="115"/>
    </row>
    <row r="17" spans="1:19" ht="20.149999999999999" customHeight="1">
      <c r="A17" s="117"/>
      <c r="B17" s="211"/>
      <c r="C17" s="117"/>
      <c r="D17" s="189" t="s">
        <v>287</v>
      </c>
      <c r="E17" s="189"/>
      <c r="F17" s="190"/>
      <c r="G17" s="410" t="s">
        <v>421</v>
      </c>
      <c r="H17" s="117"/>
      <c r="I17" s="117"/>
      <c r="J17" s="117"/>
      <c r="K17" s="117"/>
      <c r="L17" s="117"/>
      <c r="M17" s="212"/>
      <c r="N17" s="115"/>
      <c r="O17" s="115"/>
      <c r="P17" s="115"/>
      <c r="Q17" s="115"/>
      <c r="R17" s="115"/>
      <c r="S17" s="115"/>
    </row>
    <row r="18" spans="1:19" ht="20.149999999999999" customHeight="1">
      <c r="A18" s="117"/>
      <c r="B18" s="211"/>
      <c r="C18" s="117"/>
      <c r="D18" s="189" t="s">
        <v>288</v>
      </c>
      <c r="E18" s="189"/>
      <c r="F18" s="190"/>
      <c r="G18" s="410" t="s">
        <v>421</v>
      </c>
      <c r="H18" s="117"/>
      <c r="I18" s="117"/>
      <c r="J18" s="117"/>
      <c r="K18" s="117"/>
      <c r="L18" s="117"/>
      <c r="M18" s="212"/>
      <c r="N18" s="115"/>
      <c r="O18" s="115"/>
      <c r="P18" s="115"/>
      <c r="Q18" s="115"/>
      <c r="R18" s="115"/>
      <c r="S18" s="115"/>
    </row>
    <row r="19" spans="1:19" ht="20.149999999999999" customHeight="1">
      <c r="A19" s="117"/>
      <c r="B19" s="211"/>
      <c r="C19" s="117"/>
      <c r="D19" s="189" t="s">
        <v>289</v>
      </c>
      <c r="E19" s="189"/>
      <c r="F19" s="190"/>
      <c r="G19" s="410" t="s">
        <v>421</v>
      </c>
      <c r="H19" s="117"/>
      <c r="I19" s="117"/>
      <c r="J19" s="117"/>
      <c r="K19" s="117"/>
      <c r="L19" s="117"/>
      <c r="M19" s="212"/>
      <c r="N19" s="115"/>
      <c r="O19" s="115"/>
      <c r="P19" s="115"/>
      <c r="Q19" s="115"/>
      <c r="R19" s="115"/>
      <c r="S19" s="115"/>
    </row>
    <row r="20" spans="1:19" ht="19" thickBot="1">
      <c r="A20" s="117"/>
      <c r="B20" s="211"/>
      <c r="C20" s="117"/>
      <c r="D20" s="245" t="s">
        <v>290</v>
      </c>
      <c r="E20" s="246"/>
      <c r="F20" s="246"/>
      <c r="G20" s="247"/>
      <c r="H20" s="117"/>
      <c r="I20" s="117"/>
      <c r="J20" s="117"/>
      <c r="K20" s="117"/>
      <c r="L20" s="117"/>
      <c r="M20" s="212"/>
      <c r="N20" s="115"/>
      <c r="O20" s="115"/>
      <c r="P20" s="115"/>
      <c r="Q20" s="115"/>
      <c r="R20" s="115"/>
      <c r="S20" s="115"/>
    </row>
    <row r="21" spans="1:19" ht="20.149999999999999" customHeight="1">
      <c r="A21" s="117"/>
      <c r="B21" s="211"/>
      <c r="C21" s="117"/>
      <c r="D21" s="189" t="s">
        <v>265</v>
      </c>
      <c r="E21" s="189"/>
      <c r="F21" s="190"/>
      <c r="G21" s="407">
        <v>24</v>
      </c>
      <c r="H21" s="117"/>
      <c r="I21" s="117"/>
      <c r="J21" s="117"/>
      <c r="K21" s="117"/>
      <c r="L21" s="117"/>
      <c r="M21" s="212"/>
      <c r="N21" s="115"/>
      <c r="O21" s="115"/>
      <c r="P21" s="115"/>
      <c r="Q21" s="115"/>
      <c r="R21" s="115"/>
      <c r="S21" s="115"/>
    </row>
    <row r="22" spans="1:19" ht="20.149999999999999" customHeight="1">
      <c r="A22" s="117"/>
      <c r="B22" s="211"/>
      <c r="C22" s="117"/>
      <c r="D22" s="189" t="s">
        <v>179</v>
      </c>
      <c r="E22" s="189"/>
      <c r="F22" s="190"/>
      <c r="G22" s="408">
        <f>E27</f>
        <v>6.2624999999999993</v>
      </c>
      <c r="H22" s="126"/>
      <c r="I22" s="117"/>
      <c r="J22" s="117"/>
      <c r="K22" s="117"/>
      <c r="L22" s="117"/>
      <c r="M22" s="212"/>
      <c r="N22" s="115"/>
      <c r="O22" s="115"/>
      <c r="P22" s="115"/>
      <c r="Q22" s="115"/>
      <c r="R22" s="115"/>
      <c r="S22" s="115"/>
    </row>
    <row r="23" spans="1:19" ht="20.149999999999999" customHeight="1">
      <c r="A23" s="117"/>
      <c r="B23" s="211"/>
      <c r="C23" s="117"/>
      <c r="D23" s="189" t="s">
        <v>291</v>
      </c>
      <c r="E23" s="189"/>
      <c r="F23" s="190"/>
      <c r="G23" s="408">
        <f>IF('Inclination angle'!O12=2,'Inclination angle'!#REF!,SUM(Consumption!L21:L29))</f>
        <v>128.74999999999997</v>
      </c>
      <c r="H23" s="117"/>
      <c r="I23" s="117"/>
      <c r="J23" s="117"/>
      <c r="K23" s="117"/>
      <c r="L23" s="117"/>
      <c r="M23" s="212"/>
      <c r="N23" s="115"/>
      <c r="O23" s="115"/>
      <c r="P23" s="115"/>
      <c r="Q23" s="115"/>
      <c r="R23" s="115"/>
      <c r="S23" s="115"/>
    </row>
    <row r="24" spans="1:19">
      <c r="A24" s="117"/>
      <c r="B24" s="211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212"/>
      <c r="N24" s="115"/>
      <c r="O24" s="115"/>
      <c r="P24" s="115"/>
      <c r="Q24" s="115"/>
      <c r="R24" s="115"/>
      <c r="S24" s="115"/>
    </row>
    <row r="25" spans="1:19" ht="13" thickBot="1">
      <c r="A25" s="117"/>
      <c r="B25" s="211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212"/>
      <c r="N25" s="115"/>
      <c r="O25" s="115"/>
      <c r="P25" s="115"/>
      <c r="Q25" s="115"/>
      <c r="R25" s="115"/>
      <c r="S25" s="115"/>
    </row>
    <row r="26" spans="1:19" ht="26.5" thickBot="1">
      <c r="A26" s="117"/>
      <c r="B26" s="211"/>
      <c r="C26" s="117"/>
      <c r="D26" s="112" t="s">
        <v>300</v>
      </c>
      <c r="E26" s="113" t="s">
        <v>301</v>
      </c>
      <c r="F26" s="225" t="s">
        <v>302</v>
      </c>
      <c r="G26" s="114" t="s">
        <v>303</v>
      </c>
      <c r="H26" s="117"/>
      <c r="I26" s="117"/>
      <c r="J26" s="117"/>
      <c r="K26" s="117"/>
      <c r="L26" s="117"/>
      <c r="M26" s="212"/>
      <c r="N26" s="115"/>
      <c r="O26" s="115"/>
      <c r="P26" s="115"/>
      <c r="Q26" s="115"/>
      <c r="R26" s="115"/>
      <c r="S26" s="115"/>
    </row>
    <row r="27" spans="1:19" ht="20.149999999999999" customHeight="1">
      <c r="A27" s="117"/>
      <c r="B27" s="211"/>
      <c r="C27" s="117"/>
      <c r="D27" s="94">
        <f>PV!E22*PV!G15</f>
        <v>5.01</v>
      </c>
      <c r="E27" s="94">
        <f>D27*1.25</f>
        <v>6.2624999999999993</v>
      </c>
      <c r="F27" s="285">
        <v>60</v>
      </c>
      <c r="G27" s="109">
        <f>ROUNDUP(IF(F27=0,0,E27/F27),0)</f>
        <v>1</v>
      </c>
      <c r="H27" s="117"/>
      <c r="I27" s="117"/>
      <c r="J27" s="117"/>
      <c r="K27" s="117"/>
      <c r="L27" s="117"/>
      <c r="M27" s="212"/>
      <c r="N27" s="115"/>
      <c r="O27" s="115"/>
      <c r="P27" s="115"/>
      <c r="Q27" s="115"/>
      <c r="R27" s="115"/>
      <c r="S27" s="115"/>
    </row>
    <row r="28" spans="1:19" ht="13" thickBot="1">
      <c r="A28" s="117"/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7"/>
      <c r="N28" s="115"/>
      <c r="O28" s="115"/>
      <c r="P28" s="115"/>
      <c r="Q28" s="115"/>
      <c r="R28" s="115"/>
      <c r="S28" s="115"/>
    </row>
    <row r="29" spans="1:19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19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19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19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</sheetData>
  <sheetProtection password="9853" sheet="1" objects="1" scenarios="1" selectLockedCells="1"/>
  <protectedRanges>
    <protectedRange sqref="F27 E10:G12 G14:G19" name="Desprotegidas"/>
  </protectedRanges>
  <mergeCells count="20">
    <mergeCell ref="E5:G5"/>
    <mergeCell ref="E3:G3"/>
    <mergeCell ref="J5:L5"/>
    <mergeCell ref="J3:L3"/>
    <mergeCell ref="D20:G20"/>
    <mergeCell ref="D17:F17"/>
    <mergeCell ref="D18:F18"/>
    <mergeCell ref="D19:F19"/>
    <mergeCell ref="D9:G9"/>
    <mergeCell ref="I9:L9"/>
    <mergeCell ref="D23:F23"/>
    <mergeCell ref="E10:G10"/>
    <mergeCell ref="E11:G11"/>
    <mergeCell ref="E12:G12"/>
    <mergeCell ref="D21:F21"/>
    <mergeCell ref="D22:F22"/>
    <mergeCell ref="D13:G13"/>
    <mergeCell ref="D14:F14"/>
    <mergeCell ref="D15:F15"/>
    <mergeCell ref="D16:F16"/>
  </mergeCells>
  <phoneticPr fontId="12" type="noConversion"/>
  <printOptions horizontalCentered="1" verticalCentered="1"/>
  <pageMargins left="0" right="0" top="0" bottom="0" header="0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V67"/>
  <sheetViews>
    <sheetView showGridLines="0" zoomScale="80" zoomScaleNormal="80" workbookViewId="0">
      <selection activeCell="D11" sqref="D11:E11"/>
    </sheetView>
  </sheetViews>
  <sheetFormatPr baseColWidth="10" defaultRowHeight="12.5"/>
  <cols>
    <col min="1" max="1" width="6.7265625" customWidth="1"/>
    <col min="2" max="2" width="8.7265625" customWidth="1"/>
    <col min="3" max="3" width="38.1796875" customWidth="1"/>
    <col min="4" max="4" width="10.7265625" customWidth="1"/>
    <col min="5" max="5" width="8.81640625" customWidth="1"/>
    <col min="6" max="6" width="8.453125" customWidth="1"/>
    <col min="7" max="7" width="31.7265625" bestFit="1" customWidth="1"/>
    <col min="8" max="8" width="13.54296875" customWidth="1"/>
    <col min="9" max="9" width="9.26953125" customWidth="1"/>
    <col min="10" max="10" width="15.54296875" customWidth="1"/>
    <col min="11" max="12" width="13.453125" customWidth="1"/>
    <col min="13" max="13" width="13" customWidth="1"/>
    <col min="15" max="15" width="8.7265625" customWidth="1"/>
    <col min="16" max="16" width="8" customWidth="1"/>
    <col min="17" max="17" width="10.1796875" hidden="1" customWidth="1"/>
    <col min="18" max="18" width="6.453125" hidden="1" customWidth="1"/>
    <col min="19" max="20" width="7.26953125" hidden="1" customWidth="1"/>
    <col min="21" max="21" width="0.26953125" hidden="1" customWidth="1"/>
  </cols>
  <sheetData>
    <row r="1" spans="1:22" ht="13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>
      <c r="A2" s="115"/>
      <c r="B2" s="208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10"/>
      <c r="O2" s="115"/>
      <c r="P2" s="115"/>
      <c r="V2" s="115"/>
    </row>
    <row r="3" spans="1:22" ht="15.5">
      <c r="A3" s="117"/>
      <c r="B3" s="214"/>
      <c r="C3" s="116" t="s">
        <v>172</v>
      </c>
      <c r="D3" s="187" t="str">
        <f>Consumption!D3</f>
        <v>HOUSING</v>
      </c>
      <c r="E3" s="187"/>
      <c r="F3" s="187"/>
      <c r="G3" s="130"/>
      <c r="H3" s="116" t="s">
        <v>174</v>
      </c>
      <c r="I3" s="187" t="str">
        <f>Consumption!H3</f>
        <v>POLAND</v>
      </c>
      <c r="J3" s="187"/>
      <c r="K3" s="187"/>
      <c r="L3" s="120"/>
      <c r="M3" s="120"/>
      <c r="N3" s="212"/>
      <c r="O3" s="115"/>
      <c r="P3" s="115"/>
      <c r="V3" s="115"/>
    </row>
    <row r="4" spans="1:22">
      <c r="A4" s="117"/>
      <c r="B4" s="214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212"/>
      <c r="O4" s="115"/>
      <c r="P4" s="115"/>
      <c r="V4" s="115"/>
    </row>
    <row r="5" spans="1:22" ht="15.5">
      <c r="A5" s="117"/>
      <c r="B5" s="214"/>
      <c r="C5" s="116" t="s">
        <v>173</v>
      </c>
      <c r="D5" s="187" t="str">
        <f>Consumption!D5</f>
        <v>VIPSKILLS</v>
      </c>
      <c r="E5" s="187"/>
      <c r="F5" s="187"/>
      <c r="G5" s="130"/>
      <c r="H5" s="116" t="s">
        <v>175</v>
      </c>
      <c r="I5" s="187">
        <f>Consumption!H5</f>
        <v>42920</v>
      </c>
      <c r="J5" s="187"/>
      <c r="K5" s="187"/>
      <c r="L5" s="120"/>
      <c r="M5" s="120"/>
      <c r="N5" s="212"/>
      <c r="O5" s="115"/>
      <c r="P5" s="115"/>
      <c r="V5" s="115"/>
    </row>
    <row r="6" spans="1:22">
      <c r="A6" s="117"/>
      <c r="B6" s="214"/>
      <c r="C6" s="117"/>
      <c r="D6" s="182"/>
      <c r="E6" s="182"/>
      <c r="F6" s="182"/>
      <c r="G6" s="130"/>
      <c r="H6" s="117"/>
      <c r="I6" s="182"/>
      <c r="J6" s="182"/>
      <c r="K6" s="182"/>
      <c r="L6" s="120"/>
      <c r="M6" s="120"/>
      <c r="N6" s="212"/>
      <c r="O6" s="115"/>
      <c r="P6" s="115"/>
      <c r="V6" s="115"/>
    </row>
    <row r="7" spans="1:22" ht="20">
      <c r="A7" s="117"/>
      <c r="B7" s="214"/>
      <c r="C7" s="128" t="s">
        <v>304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212"/>
      <c r="O7" s="115"/>
      <c r="P7" s="115"/>
      <c r="V7" s="115"/>
    </row>
    <row r="8" spans="1:22" ht="14.5">
      <c r="A8" s="117"/>
      <c r="B8" s="214"/>
      <c r="C8" s="117"/>
      <c r="D8" s="277" t="s">
        <v>55</v>
      </c>
      <c r="E8" s="277"/>
      <c r="F8" s="277"/>
      <c r="G8" s="277"/>
      <c r="H8" s="117"/>
      <c r="I8" s="117"/>
      <c r="J8" s="117"/>
      <c r="K8" s="117"/>
      <c r="L8" s="117"/>
      <c r="M8" s="117"/>
      <c r="N8" s="212"/>
      <c r="O8" s="115"/>
      <c r="P8" s="115"/>
      <c r="V8" s="115"/>
    </row>
    <row r="9" spans="1:22" ht="13" thickBot="1">
      <c r="A9" s="117"/>
      <c r="B9" s="21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212"/>
      <c r="O9" s="115"/>
      <c r="P9" s="115"/>
      <c r="V9" s="115"/>
    </row>
    <row r="10" spans="1:22" ht="19" thickBot="1">
      <c r="A10" s="117"/>
      <c r="B10" s="214"/>
      <c r="C10" s="228" t="s">
        <v>305</v>
      </c>
      <c r="D10" s="229"/>
      <c r="E10" s="229"/>
      <c r="F10" s="133"/>
      <c r="G10" s="228" t="s">
        <v>306</v>
      </c>
      <c r="H10" s="229"/>
      <c r="I10" s="229"/>
      <c r="J10" s="126"/>
      <c r="K10" s="260"/>
      <c r="L10" s="260"/>
      <c r="M10" s="260"/>
      <c r="N10" s="212"/>
      <c r="O10" s="115"/>
      <c r="P10" s="115"/>
      <c r="V10" s="115"/>
    </row>
    <row r="11" spans="1:22" ht="18" customHeight="1">
      <c r="A11" s="117"/>
      <c r="B11" s="214"/>
      <c r="C11" s="184" t="s">
        <v>307</v>
      </c>
      <c r="D11" s="383">
        <v>1</v>
      </c>
      <c r="E11" s="384"/>
      <c r="F11" s="117"/>
      <c r="G11" s="184" t="s">
        <v>221</v>
      </c>
      <c r="H11" s="391" t="s">
        <v>166</v>
      </c>
      <c r="I11" s="384"/>
      <c r="J11" s="117"/>
      <c r="K11" s="147"/>
      <c r="L11" s="147"/>
      <c r="M11" s="147"/>
      <c r="N11" s="212"/>
      <c r="O11" s="115"/>
      <c r="P11" s="115"/>
      <c r="Q11" s="161" t="s">
        <v>70</v>
      </c>
      <c r="R11" s="162">
        <v>6</v>
      </c>
      <c r="S11">
        <v>120</v>
      </c>
      <c r="T11" s="178" t="s">
        <v>68</v>
      </c>
      <c r="U11">
        <f>Battery!E27/5</f>
        <v>21.6</v>
      </c>
      <c r="V11" s="115"/>
    </row>
    <row r="12" spans="1:22" ht="18" customHeight="1">
      <c r="A12" s="117"/>
      <c r="B12" s="214"/>
      <c r="C12" s="184" t="s">
        <v>308</v>
      </c>
      <c r="D12" s="385">
        <v>4</v>
      </c>
      <c r="E12" s="385"/>
      <c r="F12" s="131"/>
      <c r="G12" s="184" t="s">
        <v>222</v>
      </c>
      <c r="H12" s="392" t="s">
        <v>167</v>
      </c>
      <c r="I12" s="385"/>
      <c r="J12" s="117"/>
      <c r="K12" s="147"/>
      <c r="L12" s="147"/>
      <c r="M12" s="147"/>
      <c r="N12" s="212"/>
      <c r="O12" s="115"/>
      <c r="P12" s="115"/>
      <c r="Q12" s="161" t="s">
        <v>69</v>
      </c>
      <c r="R12" s="162">
        <v>12</v>
      </c>
      <c r="S12">
        <v>130</v>
      </c>
      <c r="T12" s="178" t="s">
        <v>67</v>
      </c>
      <c r="U12">
        <f>H21*J18</f>
        <v>140</v>
      </c>
      <c r="V12" s="115"/>
    </row>
    <row r="13" spans="1:22" ht="18" customHeight="1">
      <c r="A13" s="117"/>
      <c r="B13" s="214"/>
      <c r="C13" s="184" t="s">
        <v>309</v>
      </c>
      <c r="D13" s="385">
        <v>3</v>
      </c>
      <c r="E13" s="385"/>
      <c r="F13" s="117"/>
      <c r="G13" s="184" t="s">
        <v>307</v>
      </c>
      <c r="H13" s="392" t="s">
        <v>70</v>
      </c>
      <c r="I13" s="385"/>
      <c r="J13" s="117"/>
      <c r="K13" s="147"/>
      <c r="L13" s="147"/>
      <c r="M13" s="147"/>
      <c r="N13" s="212"/>
      <c r="O13" s="115"/>
      <c r="P13" s="115"/>
      <c r="Q13" s="161" t="s">
        <v>162</v>
      </c>
      <c r="R13" s="162">
        <v>24</v>
      </c>
      <c r="S13">
        <v>220</v>
      </c>
      <c r="V13" s="115"/>
    </row>
    <row r="14" spans="1:22" ht="18" customHeight="1">
      <c r="A14" s="117"/>
      <c r="B14" s="214"/>
      <c r="C14" s="184" t="s">
        <v>310</v>
      </c>
      <c r="D14" s="386"/>
      <c r="E14" s="387"/>
      <c r="F14" s="117"/>
      <c r="G14" s="184" t="s">
        <v>315</v>
      </c>
      <c r="H14" s="385">
        <v>48</v>
      </c>
      <c r="I14" s="385" t="s">
        <v>56</v>
      </c>
      <c r="J14" s="117"/>
      <c r="K14" s="147"/>
      <c r="L14" s="147"/>
      <c r="M14" s="147"/>
      <c r="N14" s="212"/>
      <c r="O14" s="115"/>
      <c r="P14" s="115"/>
      <c r="R14" s="162">
        <v>48</v>
      </c>
      <c r="S14">
        <v>230</v>
      </c>
      <c r="V14" s="115"/>
    </row>
    <row r="15" spans="1:22" ht="18" customHeight="1" thickBot="1">
      <c r="A15" s="117"/>
      <c r="B15" s="214"/>
      <c r="C15" s="184" t="s">
        <v>311</v>
      </c>
      <c r="D15" s="385">
        <v>75</v>
      </c>
      <c r="E15" s="385"/>
      <c r="F15" s="117"/>
      <c r="G15" s="184" t="s">
        <v>316</v>
      </c>
      <c r="H15" s="385">
        <v>230</v>
      </c>
      <c r="I15" s="385" t="s">
        <v>56</v>
      </c>
      <c r="J15" s="261"/>
      <c r="K15" s="117"/>
      <c r="L15" s="117"/>
      <c r="M15" s="117"/>
      <c r="N15" s="212"/>
      <c r="O15" s="115"/>
      <c r="P15" s="115"/>
      <c r="R15" s="162">
        <v>120</v>
      </c>
      <c r="V15" s="115"/>
    </row>
    <row r="16" spans="1:22" ht="18" customHeight="1">
      <c r="A16" s="117"/>
      <c r="B16" s="214"/>
      <c r="C16" s="184" t="s">
        <v>312</v>
      </c>
      <c r="D16" s="386">
        <f>D14*D15/100</f>
        <v>0</v>
      </c>
      <c r="E16" s="387"/>
      <c r="F16" s="117"/>
      <c r="G16" s="184" t="s">
        <v>317</v>
      </c>
      <c r="H16" s="393">
        <v>4250</v>
      </c>
      <c r="I16" s="394"/>
      <c r="J16" s="243" t="s">
        <v>328</v>
      </c>
      <c r="K16" s="192" t="s">
        <v>329</v>
      </c>
      <c r="L16" s="117"/>
      <c r="M16" s="117"/>
      <c r="N16" s="212"/>
      <c r="O16" s="115"/>
      <c r="P16" s="115"/>
      <c r="R16" s="162">
        <v>240</v>
      </c>
      <c r="V16" s="115"/>
    </row>
    <row r="17" spans="1:22" ht="18" customHeight="1" thickBot="1">
      <c r="A17" s="117"/>
      <c r="B17" s="214"/>
      <c r="C17" s="184" t="s">
        <v>313</v>
      </c>
      <c r="D17" s="388"/>
      <c r="E17" s="388"/>
      <c r="F17" s="117"/>
      <c r="G17" s="184" t="s">
        <v>318</v>
      </c>
      <c r="H17" s="385">
        <v>10000</v>
      </c>
      <c r="I17" s="385" t="s">
        <v>57</v>
      </c>
      <c r="J17" s="244"/>
      <c r="K17" s="193"/>
      <c r="L17" s="117"/>
      <c r="M17" s="117"/>
      <c r="N17" s="212"/>
      <c r="O17" s="115"/>
      <c r="P17" s="115"/>
      <c r="V17" s="115"/>
    </row>
    <row r="18" spans="1:22" ht="24" customHeight="1">
      <c r="A18" s="117"/>
      <c r="B18" s="214"/>
      <c r="C18" s="184" t="s">
        <v>314</v>
      </c>
      <c r="D18" s="389">
        <v>0.9</v>
      </c>
      <c r="E18" s="390"/>
      <c r="F18" s="117"/>
      <c r="G18" s="184" t="s">
        <v>319</v>
      </c>
      <c r="H18" s="395">
        <f>D16/H16</f>
        <v>0</v>
      </c>
      <c r="I18" s="396"/>
      <c r="J18" s="400">
        <v>2</v>
      </c>
      <c r="K18" s="109">
        <f>J18*H16</f>
        <v>8500</v>
      </c>
      <c r="L18" s="175"/>
      <c r="M18" s="117"/>
      <c r="N18" s="212"/>
      <c r="O18" s="115"/>
      <c r="P18" s="115"/>
      <c r="V18" s="115"/>
    </row>
    <row r="19" spans="1:22" ht="24" customHeight="1">
      <c r="A19" s="117"/>
      <c r="B19" s="214"/>
      <c r="C19" s="117"/>
      <c r="D19" s="117"/>
      <c r="E19" s="117"/>
      <c r="F19" s="117"/>
      <c r="G19" s="183" t="s">
        <v>320</v>
      </c>
      <c r="H19" s="397">
        <v>1</v>
      </c>
      <c r="I19" s="397"/>
      <c r="J19" s="117"/>
      <c r="K19" s="117"/>
      <c r="L19" s="175"/>
      <c r="M19" s="117"/>
      <c r="N19" s="212"/>
      <c r="O19" s="115"/>
      <c r="P19" s="115"/>
      <c r="V19" s="115"/>
    </row>
    <row r="20" spans="1:22" ht="19.5" customHeight="1">
      <c r="A20" s="117"/>
      <c r="B20" s="214"/>
      <c r="C20" s="117"/>
      <c r="D20" s="117"/>
      <c r="E20" s="117"/>
      <c r="F20" s="117"/>
      <c r="G20" s="183" t="s">
        <v>321</v>
      </c>
      <c r="H20" s="393">
        <v>230</v>
      </c>
      <c r="I20" s="394"/>
      <c r="J20" s="117"/>
      <c r="K20" s="260"/>
      <c r="L20" s="260"/>
      <c r="M20" s="260"/>
      <c r="N20" s="212"/>
      <c r="O20" s="115"/>
      <c r="P20" s="115"/>
      <c r="V20" s="115"/>
    </row>
    <row r="21" spans="1:22" ht="19.5" customHeight="1">
      <c r="A21" s="117"/>
      <c r="B21" s="214"/>
      <c r="C21" s="117"/>
      <c r="D21" s="117"/>
      <c r="E21" s="117"/>
      <c r="F21" s="117"/>
      <c r="G21" s="183" t="s">
        <v>322</v>
      </c>
      <c r="H21" s="393">
        <v>70</v>
      </c>
      <c r="I21" s="394"/>
      <c r="J21" s="117"/>
      <c r="K21" s="147"/>
      <c r="L21" s="147"/>
      <c r="M21" s="147"/>
      <c r="N21" s="212"/>
      <c r="O21" s="115"/>
      <c r="P21" s="115"/>
      <c r="V21" s="115"/>
    </row>
    <row r="22" spans="1:22" ht="19.5" customHeight="1">
      <c r="A22" s="117"/>
      <c r="B22" s="214"/>
      <c r="C22" s="117"/>
      <c r="D22" s="117"/>
      <c r="E22" s="117"/>
      <c r="F22" s="117"/>
      <c r="G22" s="183" t="s">
        <v>323</v>
      </c>
      <c r="H22" s="395">
        <f>Battery!G27/(H21*J18)</f>
        <v>0.53999999999999992</v>
      </c>
      <c r="I22" s="398"/>
      <c r="J22" s="117"/>
      <c r="K22" s="147"/>
      <c r="L22" s="147"/>
      <c r="M22" s="147"/>
      <c r="N22" s="212"/>
      <c r="O22" s="115"/>
      <c r="P22" s="115"/>
      <c r="V22" s="115"/>
    </row>
    <row r="23" spans="1:22" ht="21.75" customHeight="1">
      <c r="A23" s="117"/>
      <c r="B23" s="214"/>
      <c r="C23" s="117"/>
      <c r="D23" s="117"/>
      <c r="E23" s="117"/>
      <c r="F23" s="117"/>
      <c r="G23" s="183" t="s">
        <v>324</v>
      </c>
      <c r="H23" s="399">
        <v>1</v>
      </c>
      <c r="I23" s="399"/>
      <c r="J23" s="117"/>
      <c r="K23" s="117"/>
      <c r="L23" s="175"/>
      <c r="M23" s="117"/>
      <c r="N23" s="212"/>
      <c r="O23" s="115"/>
      <c r="P23" s="115"/>
      <c r="V23" s="115"/>
    </row>
    <row r="24" spans="1:22" ht="26.25" customHeight="1">
      <c r="A24" s="117"/>
      <c r="B24" s="214"/>
      <c r="C24" s="117"/>
      <c r="D24" s="117"/>
      <c r="E24" s="117"/>
      <c r="F24" s="117"/>
      <c r="G24" s="183" t="s">
        <v>325</v>
      </c>
      <c r="H24" s="399">
        <v>1</v>
      </c>
      <c r="I24" s="399"/>
      <c r="J24" s="117"/>
      <c r="K24" s="117"/>
      <c r="L24" s="175"/>
      <c r="M24" s="117"/>
      <c r="N24" s="212"/>
      <c r="O24" s="115"/>
      <c r="P24" s="115"/>
      <c r="V24" s="115"/>
    </row>
    <row r="25" spans="1:22" ht="15.5">
      <c r="A25" s="117"/>
      <c r="B25" s="214"/>
      <c r="C25" s="117"/>
      <c r="D25" s="117"/>
      <c r="E25" s="117"/>
      <c r="F25" s="117"/>
      <c r="G25" s="179" t="s">
        <v>326</v>
      </c>
      <c r="H25" s="399">
        <v>1</v>
      </c>
      <c r="I25" s="399"/>
      <c r="J25" s="117"/>
      <c r="K25" s="117"/>
      <c r="L25" s="175"/>
      <c r="M25" s="117"/>
      <c r="N25" s="212"/>
      <c r="O25" s="115"/>
      <c r="P25" s="115"/>
      <c r="V25" s="115"/>
    </row>
    <row r="26" spans="1:22" ht="23.25" customHeight="1">
      <c r="A26" s="117"/>
      <c r="B26" s="214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212"/>
      <c r="O26" s="115"/>
      <c r="P26" s="115"/>
      <c r="V26" s="115"/>
    </row>
    <row r="27" spans="1:22" ht="15" customHeight="1">
      <c r="A27" s="117"/>
      <c r="B27" s="214"/>
      <c r="C27" s="117"/>
      <c r="D27" s="277" t="s">
        <v>327</v>
      </c>
      <c r="E27" s="277"/>
      <c r="F27" s="277"/>
      <c r="G27" s="277"/>
      <c r="H27" s="117"/>
      <c r="I27" s="117"/>
      <c r="J27" s="117"/>
      <c r="K27" s="117"/>
      <c r="L27" s="117"/>
      <c r="M27" s="117"/>
      <c r="N27" s="212"/>
      <c r="O27" s="115"/>
      <c r="P27" s="115"/>
      <c r="V27" s="115"/>
    </row>
    <row r="28" spans="1:22" ht="23.25" customHeight="1" thickBot="1">
      <c r="A28" s="117"/>
      <c r="B28" s="214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212"/>
      <c r="O28" s="115"/>
      <c r="P28" s="115"/>
      <c r="V28" s="115"/>
    </row>
    <row r="29" spans="1:22" ht="17.25" customHeight="1" thickBot="1">
      <c r="A29" s="117"/>
      <c r="B29" s="214"/>
      <c r="C29" s="117"/>
      <c r="D29" s="117"/>
      <c r="E29" s="117"/>
      <c r="F29" s="117"/>
      <c r="G29" s="228" t="s">
        <v>342</v>
      </c>
      <c r="H29" s="229"/>
      <c r="I29" s="230"/>
      <c r="J29" s="117"/>
      <c r="K29" s="117"/>
      <c r="L29" s="117"/>
      <c r="M29" s="117"/>
      <c r="N29" s="212"/>
      <c r="O29" s="115"/>
      <c r="P29" s="115"/>
      <c r="V29" s="115"/>
    </row>
    <row r="30" spans="1:22" ht="14.5">
      <c r="A30" s="117"/>
      <c r="B30" s="214"/>
      <c r="C30" s="117"/>
      <c r="D30" s="117"/>
      <c r="E30" s="117"/>
      <c r="F30" s="117"/>
      <c r="G30" s="184" t="s">
        <v>222</v>
      </c>
      <c r="H30" s="401"/>
      <c r="I30" s="402"/>
      <c r="J30" s="117"/>
      <c r="K30" s="117"/>
      <c r="L30" s="117"/>
      <c r="M30" s="117"/>
      <c r="N30" s="212"/>
      <c r="O30" s="115"/>
      <c r="P30" s="115"/>
      <c r="V30" s="115"/>
    </row>
    <row r="31" spans="1:22" ht="14.5">
      <c r="A31" s="117"/>
      <c r="B31" s="214"/>
      <c r="C31" s="117"/>
      <c r="D31" s="117"/>
      <c r="E31" s="117"/>
      <c r="F31" s="117"/>
      <c r="G31" s="184" t="s">
        <v>317</v>
      </c>
      <c r="H31" s="393"/>
      <c r="I31" s="394"/>
      <c r="J31" s="117"/>
      <c r="K31" s="117"/>
      <c r="L31" s="117"/>
      <c r="M31" s="117"/>
      <c r="N31" s="212"/>
      <c r="O31" s="115"/>
      <c r="P31" s="115"/>
      <c r="V31" s="115"/>
    </row>
    <row r="32" spans="1:22" ht="14.5">
      <c r="A32" s="117"/>
      <c r="B32" s="214"/>
      <c r="C32" s="117"/>
      <c r="D32" s="117"/>
      <c r="E32" s="117"/>
      <c r="F32" s="117"/>
      <c r="G32" s="184" t="s">
        <v>310</v>
      </c>
      <c r="H32" s="393"/>
      <c r="I32" s="394"/>
      <c r="J32" s="117"/>
      <c r="K32" s="117"/>
      <c r="L32" s="117"/>
      <c r="M32" s="117"/>
      <c r="N32" s="212"/>
      <c r="O32" s="115"/>
      <c r="P32" s="115"/>
      <c r="V32" s="115"/>
    </row>
    <row r="33" spans="1:22" ht="14.5">
      <c r="A33" s="117"/>
      <c r="B33" s="214"/>
      <c r="C33" s="117"/>
      <c r="D33" s="117"/>
      <c r="E33" s="117"/>
      <c r="F33" s="117"/>
      <c r="G33" s="184" t="s">
        <v>265</v>
      </c>
      <c r="H33" s="403"/>
      <c r="I33" s="404"/>
      <c r="J33" s="117"/>
      <c r="K33" s="117"/>
      <c r="L33" s="117"/>
      <c r="M33" s="117"/>
      <c r="N33" s="212"/>
      <c r="O33" s="115"/>
      <c r="P33" s="115"/>
      <c r="V33" s="115"/>
    </row>
    <row r="34" spans="1:22" ht="14.5">
      <c r="A34" s="117"/>
      <c r="B34" s="214"/>
      <c r="C34" s="117"/>
      <c r="D34" s="117"/>
      <c r="E34" s="117"/>
      <c r="F34" s="117"/>
      <c r="G34" s="184" t="s">
        <v>330</v>
      </c>
      <c r="H34" s="403"/>
      <c r="I34" s="404"/>
      <c r="J34" s="117"/>
      <c r="K34" s="117"/>
      <c r="L34" s="117"/>
      <c r="M34" s="117"/>
      <c r="N34" s="212"/>
      <c r="O34" s="115"/>
      <c r="P34" s="115"/>
      <c r="V34" s="115"/>
    </row>
    <row r="35" spans="1:22" ht="14.5">
      <c r="A35" s="117"/>
      <c r="B35" s="214"/>
      <c r="C35" s="117"/>
      <c r="D35" s="117"/>
      <c r="E35" s="117"/>
      <c r="F35" s="117"/>
      <c r="G35" s="184" t="s">
        <v>331</v>
      </c>
      <c r="H35" s="405"/>
      <c r="I35" s="406"/>
      <c r="J35" s="117"/>
      <c r="K35" s="117"/>
      <c r="L35" s="117"/>
      <c r="M35" s="117"/>
      <c r="N35" s="212"/>
      <c r="O35" s="115"/>
      <c r="P35" s="115"/>
      <c r="V35" s="115"/>
    </row>
    <row r="36" spans="1:22" ht="14.5">
      <c r="A36" s="117"/>
      <c r="B36" s="214"/>
      <c r="C36" s="117"/>
      <c r="D36" s="117"/>
      <c r="E36" s="117"/>
      <c r="F36" s="117"/>
      <c r="G36" s="184" t="s">
        <v>332</v>
      </c>
      <c r="H36" s="385"/>
      <c r="I36" s="385"/>
      <c r="J36" s="117"/>
      <c r="K36" s="117"/>
      <c r="L36" s="117"/>
      <c r="M36" s="117"/>
      <c r="N36" s="212"/>
      <c r="O36" s="115"/>
      <c r="P36" s="115"/>
      <c r="V36" s="115"/>
    </row>
    <row r="37" spans="1:22">
      <c r="A37" s="117"/>
      <c r="B37" s="214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212"/>
      <c r="O37" s="115"/>
      <c r="P37" s="115"/>
      <c r="V37" s="115"/>
    </row>
    <row r="38" spans="1:22" ht="12.75" customHeight="1">
      <c r="A38" s="117"/>
      <c r="B38" s="214"/>
      <c r="C38" s="117"/>
      <c r="D38" s="277" t="s">
        <v>333</v>
      </c>
      <c r="E38" s="277"/>
      <c r="F38" s="277"/>
      <c r="G38" s="277"/>
      <c r="H38" s="117"/>
      <c r="I38" s="117"/>
      <c r="J38" s="117"/>
      <c r="K38" s="117"/>
      <c r="L38" s="117"/>
      <c r="M38" s="117"/>
      <c r="N38" s="212"/>
      <c r="O38" s="115"/>
      <c r="P38" s="115"/>
      <c r="V38" s="115"/>
    </row>
    <row r="39" spans="1:22" ht="13" thickBot="1">
      <c r="A39" s="117"/>
      <c r="B39" s="214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212"/>
      <c r="O39" s="115"/>
      <c r="P39" s="115"/>
      <c r="V39" s="115"/>
    </row>
    <row r="40" spans="1:22" ht="19" thickBot="1">
      <c r="A40" s="117"/>
      <c r="B40" s="214"/>
      <c r="C40" s="241" t="s">
        <v>305</v>
      </c>
      <c r="D40" s="242"/>
      <c r="E40" s="242"/>
      <c r="F40" s="133"/>
      <c r="G40" s="228" t="s">
        <v>338</v>
      </c>
      <c r="H40" s="229"/>
      <c r="I40" s="229"/>
      <c r="J40" s="126"/>
      <c r="K40" s="117"/>
      <c r="L40" s="117"/>
      <c r="M40" s="117"/>
      <c r="N40" s="212"/>
      <c r="O40" s="115"/>
      <c r="P40" s="115"/>
      <c r="V40" s="115"/>
    </row>
    <row r="41" spans="1:22" ht="14.5">
      <c r="A41" s="117"/>
      <c r="B41" s="214"/>
      <c r="C41" s="184" t="s">
        <v>334</v>
      </c>
      <c r="D41" s="385"/>
      <c r="E41" s="385"/>
      <c r="F41" s="117"/>
      <c r="G41" s="184" t="s">
        <v>221</v>
      </c>
      <c r="H41" s="385"/>
      <c r="I41" s="385"/>
      <c r="J41" s="117"/>
      <c r="K41" s="117"/>
      <c r="L41" s="117"/>
      <c r="M41" s="117"/>
      <c r="N41" s="212"/>
      <c r="O41" s="115"/>
      <c r="P41" s="115"/>
      <c r="V41" s="115"/>
    </row>
    <row r="42" spans="1:22" ht="14.5">
      <c r="A42" s="117"/>
      <c r="B42" s="214"/>
      <c r="C42" s="184" t="s">
        <v>335</v>
      </c>
      <c r="D42" s="385"/>
      <c r="E42" s="385"/>
      <c r="F42" s="117"/>
      <c r="G42" s="184" t="s">
        <v>222</v>
      </c>
      <c r="H42" s="385"/>
      <c r="I42" s="385"/>
      <c r="J42" s="117"/>
      <c r="K42" s="117"/>
      <c r="L42" s="117"/>
      <c r="M42" s="117"/>
      <c r="N42" s="212"/>
      <c r="O42" s="115"/>
      <c r="P42" s="115"/>
      <c r="V42" s="115"/>
    </row>
    <row r="43" spans="1:22" ht="14.5">
      <c r="A43" s="117"/>
      <c r="B43" s="214"/>
      <c r="C43" s="184" t="s">
        <v>336</v>
      </c>
      <c r="D43" s="385"/>
      <c r="E43" s="385"/>
      <c r="F43" s="117"/>
      <c r="G43" s="184" t="s">
        <v>321</v>
      </c>
      <c r="H43" s="385"/>
      <c r="I43" s="385"/>
      <c r="J43" s="117"/>
      <c r="K43" s="117"/>
      <c r="L43" s="117"/>
      <c r="M43" s="117"/>
      <c r="N43" s="212"/>
      <c r="O43" s="115"/>
      <c r="P43" s="115"/>
      <c r="V43" s="115"/>
    </row>
    <row r="44" spans="1:22" ht="14.5">
      <c r="A44" s="117"/>
      <c r="B44" s="214"/>
      <c r="C44" s="184" t="s">
        <v>337</v>
      </c>
      <c r="D44" s="385"/>
      <c r="E44" s="385"/>
      <c r="F44" s="117"/>
      <c r="G44" s="184" t="s">
        <v>339</v>
      </c>
      <c r="H44" s="385"/>
      <c r="I44" s="385"/>
      <c r="J44" s="117"/>
      <c r="K44" s="117"/>
      <c r="L44" s="117"/>
      <c r="M44" s="117"/>
      <c r="N44" s="212"/>
      <c r="O44" s="115"/>
      <c r="P44" s="115"/>
      <c r="V44" s="115"/>
    </row>
    <row r="45" spans="1:22" ht="14.5">
      <c r="A45" s="117"/>
      <c r="B45" s="214"/>
      <c r="C45" s="117"/>
      <c r="D45" s="117"/>
      <c r="E45" s="117"/>
      <c r="F45" s="117"/>
      <c r="G45" s="184" t="s">
        <v>340</v>
      </c>
      <c r="H45" s="385"/>
      <c r="I45" s="385"/>
      <c r="J45" s="117"/>
      <c r="K45" s="117"/>
      <c r="L45" s="117"/>
      <c r="M45" s="117"/>
      <c r="N45" s="212"/>
      <c r="O45" s="115"/>
      <c r="P45" s="115"/>
      <c r="V45" s="115"/>
    </row>
    <row r="46" spans="1:22" ht="15" thickBot="1">
      <c r="A46" s="117"/>
      <c r="B46" s="214"/>
      <c r="C46" s="117"/>
      <c r="D46" s="117"/>
      <c r="E46" s="117"/>
      <c r="F46" s="117"/>
      <c r="G46" s="184" t="s">
        <v>341</v>
      </c>
      <c r="H46" s="385"/>
      <c r="I46" s="385"/>
      <c r="J46" s="117"/>
      <c r="K46" s="117"/>
      <c r="L46" s="117"/>
      <c r="M46" s="117"/>
      <c r="N46" s="212"/>
      <c r="O46" s="115"/>
      <c r="P46" s="115"/>
      <c r="V46" s="115"/>
    </row>
    <row r="47" spans="1:22" ht="19" thickBot="1">
      <c r="A47" s="117"/>
      <c r="B47" s="214"/>
      <c r="C47" s="117"/>
      <c r="D47" s="117"/>
      <c r="E47" s="117"/>
      <c r="F47" s="117"/>
      <c r="G47" s="228" t="s">
        <v>342</v>
      </c>
      <c r="H47" s="229"/>
      <c r="I47" s="229"/>
      <c r="J47" s="126"/>
      <c r="K47" s="117"/>
      <c r="L47" s="117"/>
      <c r="M47" s="117"/>
      <c r="N47" s="212"/>
      <c r="O47" s="115"/>
      <c r="P47" s="115"/>
      <c r="V47" s="115"/>
    </row>
    <row r="48" spans="1:22" ht="14.5">
      <c r="A48" s="117"/>
      <c r="B48" s="214"/>
      <c r="C48" s="117"/>
      <c r="D48" s="117"/>
      <c r="E48" s="117"/>
      <c r="F48" s="117"/>
      <c r="G48" s="184" t="s">
        <v>343</v>
      </c>
      <c r="H48" s="385"/>
      <c r="I48" s="385"/>
      <c r="J48" s="117"/>
      <c r="K48" s="117"/>
      <c r="L48" s="117"/>
      <c r="M48" s="117"/>
      <c r="N48" s="212"/>
      <c r="O48" s="115"/>
      <c r="P48" s="115"/>
      <c r="V48" s="115"/>
    </row>
    <row r="49" spans="1:22" ht="13" thickBot="1">
      <c r="A49" s="117"/>
      <c r="B49" s="21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7"/>
      <c r="O49" s="115"/>
      <c r="P49" s="115"/>
      <c r="V49" s="115"/>
    </row>
    <row r="50" spans="1:2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V50" s="115"/>
    </row>
    <row r="51" spans="1:22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V51" s="115"/>
    </row>
    <row r="52" spans="1:22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V52" s="115"/>
    </row>
    <row r="53" spans="1:22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V53" s="115"/>
    </row>
    <row r="54" spans="1:22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V54" s="115"/>
    </row>
    <row r="55" spans="1:2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V55" s="115"/>
    </row>
    <row r="56" spans="1:22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V56" s="115"/>
    </row>
    <row r="57" spans="1:22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V57" s="115"/>
    </row>
    <row r="58" spans="1:2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V58" s="115"/>
    </row>
    <row r="59" spans="1:22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V59" s="115"/>
    </row>
    <row r="60" spans="1:22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V60" s="115"/>
    </row>
    <row r="61" spans="1:2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V61" s="115"/>
    </row>
    <row r="62" spans="1:2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V62" s="115"/>
    </row>
    <row r="63" spans="1:2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V63" s="115"/>
    </row>
    <row r="64" spans="1:22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V64" s="115"/>
    </row>
    <row r="65" spans="1:22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V65" s="115"/>
    </row>
    <row r="66" spans="1:22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V66" s="115"/>
    </row>
    <row r="67" spans="1:22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V67" s="115"/>
    </row>
  </sheetData>
  <sheetProtection password="9853" sheet="1" objects="1" scenarios="1" selectLockedCells="1"/>
  <protectedRanges>
    <protectedRange sqref="D41:E44 H11:I13 H14:H25 H30:I36 H41:I42 H43:H46 H48 D11:E15 D17:E25" name="Desprotegidos"/>
  </protectedRanges>
  <mergeCells count="53">
    <mergeCell ref="K20:M20"/>
    <mergeCell ref="D27:G27"/>
    <mergeCell ref="H14:I14"/>
    <mergeCell ref="H15:I15"/>
    <mergeCell ref="H16:I16"/>
    <mergeCell ref="H17:I17"/>
    <mergeCell ref="H18:I18"/>
    <mergeCell ref="H20:I20"/>
    <mergeCell ref="H21:I21"/>
    <mergeCell ref="J16:J17"/>
    <mergeCell ref="K16:K17"/>
    <mergeCell ref="H22:I22"/>
    <mergeCell ref="H36:I36"/>
    <mergeCell ref="G29:I29"/>
    <mergeCell ref="H34:I34"/>
    <mergeCell ref="H31:I31"/>
    <mergeCell ref="H32:I32"/>
    <mergeCell ref="H33:I33"/>
    <mergeCell ref="H30:I30"/>
    <mergeCell ref="H48:I48"/>
    <mergeCell ref="D44:E44"/>
    <mergeCell ref="G40:I40"/>
    <mergeCell ref="G47:I47"/>
    <mergeCell ref="H41:I41"/>
    <mergeCell ref="H42:I42"/>
    <mergeCell ref="D42:E42"/>
    <mergeCell ref="D43:E43"/>
    <mergeCell ref="D41:E41"/>
    <mergeCell ref="C40:E40"/>
    <mergeCell ref="H43:I43"/>
    <mergeCell ref="H44:I44"/>
    <mergeCell ref="H45:I45"/>
    <mergeCell ref="H46:I46"/>
    <mergeCell ref="D38:G38"/>
    <mergeCell ref="D14:E14"/>
    <mergeCell ref="D15:E15"/>
    <mergeCell ref="D17:E17"/>
    <mergeCell ref="D18:E18"/>
    <mergeCell ref="D16:E16"/>
    <mergeCell ref="D3:F3"/>
    <mergeCell ref="D5:F5"/>
    <mergeCell ref="I5:K5"/>
    <mergeCell ref="I3:K3"/>
    <mergeCell ref="H13:I13"/>
    <mergeCell ref="C10:E10"/>
    <mergeCell ref="G10:I10"/>
    <mergeCell ref="H11:I11"/>
    <mergeCell ref="H12:I12"/>
    <mergeCell ref="D11:E11"/>
    <mergeCell ref="D12:E12"/>
    <mergeCell ref="D13:E13"/>
    <mergeCell ref="D8:G8"/>
    <mergeCell ref="K10:M10"/>
  </mergeCells>
  <phoneticPr fontId="12" type="noConversion"/>
  <printOptions horizontalCentered="1" verticalCentered="1"/>
  <pageMargins left="0" right="0" top="0" bottom="0" header="0" footer="0"/>
  <pageSetup paperSize="9" scale="7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Q56"/>
  <sheetViews>
    <sheetView showGridLines="0" zoomScale="80" zoomScaleNormal="80" workbookViewId="0">
      <selection activeCell="I11" sqref="I11"/>
    </sheetView>
  </sheetViews>
  <sheetFormatPr baseColWidth="10" defaultRowHeight="12.5"/>
  <cols>
    <col min="1" max="1" width="6.7265625" customWidth="1"/>
    <col min="2" max="2" width="8.7265625" customWidth="1"/>
    <col min="3" max="3" width="16.453125" customWidth="1"/>
    <col min="4" max="4" width="17.453125" customWidth="1"/>
    <col min="5" max="5" width="12.54296875" customWidth="1"/>
    <col min="6" max="6" width="23.54296875" customWidth="1"/>
    <col min="7" max="7" width="15.26953125" bestFit="1" customWidth="1"/>
    <col min="8" max="8" width="13.453125" customWidth="1"/>
    <col min="9" max="9" width="15.26953125" customWidth="1"/>
    <col min="10" max="10" width="13.1796875" customWidth="1"/>
    <col min="12" max="12" width="17.7265625" customWidth="1"/>
    <col min="13" max="13" width="23.453125" customWidth="1"/>
    <col min="15" max="15" width="8.81640625" customWidth="1"/>
    <col min="16" max="16" width="11.26953125" customWidth="1"/>
    <col min="17" max="17" width="11.453125" hidden="1" customWidth="1"/>
  </cols>
  <sheetData>
    <row r="1" spans="1:17" ht="13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>
      <c r="A2" s="120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74"/>
      <c r="O2" s="115"/>
      <c r="P2" s="115"/>
    </row>
    <row r="3" spans="1:17" ht="15.5">
      <c r="A3" s="120"/>
      <c r="B3" s="211"/>
      <c r="C3" s="116" t="s">
        <v>172</v>
      </c>
      <c r="D3" s="187" t="str">
        <f>Consumption!D3</f>
        <v>HOUSING</v>
      </c>
      <c r="E3" s="187"/>
      <c r="F3" s="187"/>
      <c r="G3" s="145"/>
      <c r="H3" s="130"/>
      <c r="I3" s="116" t="s">
        <v>174</v>
      </c>
      <c r="J3" s="187" t="str">
        <f>Consumption!H3</f>
        <v>POLAND</v>
      </c>
      <c r="K3" s="187"/>
      <c r="L3" s="187"/>
      <c r="M3" s="120"/>
      <c r="N3" s="275"/>
      <c r="O3" s="115"/>
      <c r="P3" s="115"/>
    </row>
    <row r="4" spans="1:17">
      <c r="A4" s="120"/>
      <c r="B4" s="211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212"/>
      <c r="O4" s="115"/>
      <c r="P4" s="115"/>
    </row>
    <row r="5" spans="1:17" ht="15.5">
      <c r="A5" s="120"/>
      <c r="B5" s="211"/>
      <c r="C5" s="116" t="s">
        <v>173</v>
      </c>
      <c r="D5" s="187" t="str">
        <f>Consumption!D5</f>
        <v>VIPSKILLS</v>
      </c>
      <c r="E5" s="187"/>
      <c r="F5" s="187"/>
      <c r="G5" s="120"/>
      <c r="H5" s="130"/>
      <c r="I5" s="116" t="s">
        <v>175</v>
      </c>
      <c r="J5" s="188">
        <f>Consumption!H5</f>
        <v>42920</v>
      </c>
      <c r="K5" s="188"/>
      <c r="L5" s="188"/>
      <c r="M5" s="120"/>
      <c r="N5" s="275"/>
      <c r="O5" s="115"/>
      <c r="P5" s="115"/>
    </row>
    <row r="6" spans="1:17" ht="15.5">
      <c r="A6" s="120"/>
      <c r="B6" s="211"/>
      <c r="C6" s="116"/>
      <c r="D6" s="182"/>
      <c r="E6" s="182"/>
      <c r="F6" s="182"/>
      <c r="G6" s="120"/>
      <c r="H6" s="130"/>
      <c r="I6" s="116"/>
      <c r="J6" s="231"/>
      <c r="K6" s="231"/>
      <c r="L6" s="231"/>
      <c r="M6" s="120"/>
      <c r="N6" s="275"/>
      <c r="O6" s="115"/>
      <c r="P6" s="115"/>
    </row>
    <row r="7" spans="1:17" ht="20">
      <c r="A7" s="120"/>
      <c r="B7" s="211"/>
      <c r="C7" s="128" t="s">
        <v>344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212"/>
      <c r="O7" s="115"/>
      <c r="P7" s="115"/>
    </row>
    <row r="8" spans="1:17" ht="13" thickBot="1">
      <c r="A8" s="120"/>
      <c r="B8" s="211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212"/>
      <c r="O8" s="115"/>
      <c r="P8" s="115"/>
    </row>
    <row r="9" spans="1:17" ht="19" thickBot="1">
      <c r="A9" s="120"/>
      <c r="B9" s="211"/>
      <c r="C9" s="228" t="s">
        <v>345</v>
      </c>
      <c r="D9" s="229"/>
      <c r="E9" s="229"/>
      <c r="F9" s="229"/>
      <c r="G9" s="229"/>
      <c r="H9" s="229"/>
      <c r="I9" s="229"/>
      <c r="J9" s="230"/>
      <c r="K9" s="126"/>
      <c r="L9" s="260"/>
      <c r="M9" s="260"/>
      <c r="N9" s="278"/>
      <c r="O9" s="115"/>
      <c r="P9" s="115"/>
      <c r="Q9" s="172">
        <f>'Load Reg.'!G27</f>
        <v>1</v>
      </c>
    </row>
    <row r="10" spans="1:17" ht="43.5" customHeight="1" thickBot="1">
      <c r="A10" s="120"/>
      <c r="B10" s="211"/>
      <c r="C10" s="135" t="s">
        <v>346</v>
      </c>
      <c r="D10" s="140" t="s">
        <v>347</v>
      </c>
      <c r="E10" s="137" t="s">
        <v>348</v>
      </c>
      <c r="F10" s="141"/>
      <c r="G10" s="142" t="s">
        <v>349</v>
      </c>
      <c r="H10" s="143" t="s">
        <v>350</v>
      </c>
      <c r="I10" s="144" t="s">
        <v>351</v>
      </c>
      <c r="J10" s="136" t="s">
        <v>352</v>
      </c>
      <c r="K10" s="117"/>
      <c r="L10" s="232"/>
      <c r="M10" s="147"/>
      <c r="N10" s="212"/>
      <c r="O10" s="115"/>
      <c r="P10" s="115"/>
    </row>
    <row r="11" spans="1:17" ht="16" customHeight="1">
      <c r="A11" s="120"/>
      <c r="B11" s="211"/>
      <c r="C11" s="195">
        <f>'Load Reg.'!D27/'Load Reg.'!G27</f>
        <v>5.01</v>
      </c>
      <c r="D11" s="195">
        <f>C11*1.25</f>
        <v>6.2624999999999993</v>
      </c>
      <c r="E11" s="194">
        <f>PV!H22</f>
        <v>21.7</v>
      </c>
      <c r="F11" s="183" t="s">
        <v>357</v>
      </c>
      <c r="G11" s="138">
        <f>D11*1.25</f>
        <v>7.8281249999999991</v>
      </c>
      <c r="H11" s="138">
        <f>G11</f>
        <v>7.8281249999999991</v>
      </c>
      <c r="I11" s="375"/>
      <c r="J11" s="375"/>
      <c r="K11" s="117"/>
      <c r="L11" s="146"/>
      <c r="M11" s="147"/>
      <c r="N11" s="212"/>
      <c r="O11" s="115"/>
      <c r="P11" s="115"/>
    </row>
    <row r="12" spans="1:17" ht="16" customHeight="1">
      <c r="A12" s="120"/>
      <c r="B12" s="211"/>
      <c r="C12" s="194"/>
      <c r="D12" s="194"/>
      <c r="E12" s="194"/>
      <c r="F12" s="183" t="s">
        <v>358</v>
      </c>
      <c r="G12" s="127">
        <f>E11</f>
        <v>21.7</v>
      </c>
      <c r="H12" s="127">
        <f>G12</f>
        <v>21.7</v>
      </c>
      <c r="I12" s="376"/>
      <c r="J12" s="376"/>
      <c r="K12" s="117"/>
      <c r="L12" s="146"/>
      <c r="M12" s="147"/>
      <c r="N12" s="212"/>
      <c r="O12" s="115"/>
      <c r="P12" s="115"/>
    </row>
    <row r="13" spans="1:17" ht="16" customHeight="1" thickBot="1">
      <c r="A13" s="120"/>
      <c r="B13" s="211"/>
      <c r="C13" s="196"/>
      <c r="D13" s="196"/>
      <c r="E13" s="194"/>
      <c r="F13" s="139" t="s">
        <v>247</v>
      </c>
      <c r="G13" s="376"/>
      <c r="H13" s="376"/>
      <c r="I13" s="376"/>
      <c r="J13" s="376"/>
      <c r="K13" s="117"/>
      <c r="L13" s="146"/>
      <c r="M13" s="147"/>
      <c r="N13" s="212"/>
      <c r="O13" s="115"/>
      <c r="P13" s="115"/>
    </row>
    <row r="14" spans="1:17" ht="19" thickBot="1">
      <c r="A14" s="120"/>
      <c r="B14" s="211"/>
      <c r="C14" s="228" t="s">
        <v>353</v>
      </c>
      <c r="D14" s="229"/>
      <c r="E14" s="229"/>
      <c r="F14" s="229"/>
      <c r="G14" s="229"/>
      <c r="H14" s="229"/>
      <c r="I14" s="229"/>
      <c r="J14" s="230"/>
      <c r="K14" s="126"/>
      <c r="L14" s="260"/>
      <c r="M14" s="260"/>
      <c r="N14" s="212"/>
      <c r="O14" s="115"/>
      <c r="P14" s="115"/>
    </row>
    <row r="15" spans="1:17" ht="50.15" customHeight="1" thickBot="1">
      <c r="A15" s="120"/>
      <c r="B15" s="211"/>
      <c r="C15" s="135" t="s">
        <v>354</v>
      </c>
      <c r="D15" s="140" t="s">
        <v>355</v>
      </c>
      <c r="E15" s="137" t="s">
        <v>356</v>
      </c>
      <c r="F15" s="141"/>
      <c r="G15" s="142" t="s">
        <v>349</v>
      </c>
      <c r="H15" s="143" t="s">
        <v>350</v>
      </c>
      <c r="I15" s="144" t="s">
        <v>351</v>
      </c>
      <c r="J15" s="136" t="s">
        <v>352</v>
      </c>
      <c r="K15" s="117"/>
      <c r="L15" s="233"/>
      <c r="M15" s="147"/>
      <c r="N15" s="212"/>
      <c r="O15" s="115"/>
      <c r="P15" s="115"/>
    </row>
    <row r="16" spans="1:17" ht="15.5">
      <c r="A16" s="120"/>
      <c r="B16" s="211"/>
      <c r="C16" s="195">
        <f>IF('Inclination angle'!O12=2,'Inclination angle'!#REF!,IF(Consumption!D34=0,0,(Consumption!D34/Consumption!F34)/'Load Reg.'!G27))</f>
        <v>1.7454545454545454</v>
      </c>
      <c r="D16" s="195">
        <f>C16*1.25</f>
        <v>2.1818181818181817</v>
      </c>
      <c r="E16" s="197">
        <f>IF('Inclination angle'!$O$12=2,'Inclination angle'!#REF!,Consumption!$F$34)</f>
        <v>220</v>
      </c>
      <c r="F16" s="183" t="s">
        <v>357</v>
      </c>
      <c r="G16" s="138">
        <f>D16*1.25</f>
        <v>2.7272727272727271</v>
      </c>
      <c r="H16" s="138">
        <f>G16</f>
        <v>2.7272727272727271</v>
      </c>
      <c r="I16" s="375"/>
      <c r="J16" s="375"/>
      <c r="K16" s="117"/>
      <c r="L16" s="146"/>
      <c r="M16" s="147"/>
      <c r="N16" s="212"/>
      <c r="O16" s="115"/>
      <c r="P16" s="115"/>
    </row>
    <row r="17" spans="1:16" ht="15.5">
      <c r="A17" s="120"/>
      <c r="B17" s="211"/>
      <c r="C17" s="194"/>
      <c r="D17" s="194"/>
      <c r="E17" s="197">
        <f>IF('Inclination angle'!$O$12=2,'Inclination angle'!#REF!,Consumption!$F$34)</f>
        <v>220</v>
      </c>
      <c r="F17" s="183" t="s">
        <v>358</v>
      </c>
      <c r="G17" s="127">
        <f>E16</f>
        <v>220</v>
      </c>
      <c r="H17" s="127">
        <f>G17</f>
        <v>220</v>
      </c>
      <c r="I17" s="376"/>
      <c r="J17" s="376"/>
      <c r="K17" s="117"/>
      <c r="L17" s="146"/>
      <c r="M17" s="147"/>
      <c r="N17" s="212"/>
      <c r="O17" s="115"/>
      <c r="P17" s="115"/>
    </row>
    <row r="18" spans="1:16" ht="15" thickBot="1">
      <c r="A18" s="120"/>
      <c r="B18" s="211"/>
      <c r="C18" s="196"/>
      <c r="D18" s="196"/>
      <c r="E18" s="197">
        <f>IF('Inclination angle'!$O$12=2,'Inclination angle'!#REF!,Consumption!$F$34)</f>
        <v>220</v>
      </c>
      <c r="F18" s="139" t="s">
        <v>247</v>
      </c>
      <c r="G18" s="376"/>
      <c r="H18" s="376"/>
      <c r="I18" s="376"/>
      <c r="J18" s="376"/>
      <c r="K18" s="117"/>
      <c r="L18" s="146"/>
      <c r="M18" s="147"/>
      <c r="N18" s="212"/>
      <c r="O18" s="115"/>
      <c r="P18" s="115"/>
    </row>
    <row r="19" spans="1:16" ht="18.75" customHeight="1" thickBot="1">
      <c r="A19" s="120"/>
      <c r="B19" s="211"/>
      <c r="C19" s="228" t="s">
        <v>359</v>
      </c>
      <c r="D19" s="229"/>
      <c r="E19" s="229"/>
      <c r="F19" s="229"/>
      <c r="G19" s="229"/>
      <c r="H19" s="229"/>
      <c r="I19" s="229"/>
      <c r="J19" s="230"/>
      <c r="K19" s="126"/>
      <c r="L19" s="260"/>
      <c r="M19" s="260"/>
      <c r="N19" s="212"/>
      <c r="O19" s="115"/>
      <c r="P19" s="115"/>
    </row>
    <row r="20" spans="1:16" ht="52.5" customHeight="1" thickBot="1">
      <c r="A20" s="120"/>
      <c r="B20" s="211"/>
      <c r="C20" s="135" t="s">
        <v>363</v>
      </c>
      <c r="D20" s="140" t="s">
        <v>364</v>
      </c>
      <c r="E20" s="137" t="s">
        <v>365</v>
      </c>
      <c r="F20" s="141"/>
      <c r="G20" s="142" t="s">
        <v>349</v>
      </c>
      <c r="H20" s="143" t="s">
        <v>350</v>
      </c>
      <c r="I20" s="144" t="s">
        <v>351</v>
      </c>
      <c r="J20" s="136" t="s">
        <v>352</v>
      </c>
      <c r="K20" s="117"/>
      <c r="L20" s="233"/>
      <c r="M20" s="147"/>
      <c r="N20" s="212"/>
      <c r="O20" s="115"/>
      <c r="P20" s="115"/>
    </row>
    <row r="21" spans="1:16" ht="12.75" customHeight="1">
      <c r="A21" s="120"/>
      <c r="B21" s="211"/>
      <c r="C21" s="195">
        <f>IF('Inclination angle'!O12=2,'Inclination angle'!#REF!,IF('Power acond'!H16=0,0,('Power acond'!H16)))</f>
        <v>4250</v>
      </c>
      <c r="D21" s="195">
        <f>IF('Power acond'!D18=0,0,'Power acond'!D18)</f>
        <v>0.9</v>
      </c>
      <c r="E21" s="197">
        <f>IF(Consumption!K12=0,0,'Power acond'!H14)</f>
        <v>48</v>
      </c>
      <c r="F21" s="183" t="s">
        <v>366</v>
      </c>
      <c r="G21" s="138">
        <f>IF(E21=0,0,C21/(D21*E21))*1.25</f>
        <v>122.97453703703702</v>
      </c>
      <c r="H21" s="138">
        <f>G21</f>
        <v>122.97453703703702</v>
      </c>
      <c r="I21" s="376"/>
      <c r="J21" s="376"/>
      <c r="K21" s="117"/>
      <c r="L21" s="146"/>
      <c r="M21" s="234"/>
      <c r="N21" s="212"/>
      <c r="O21" s="115"/>
      <c r="P21" s="115"/>
    </row>
    <row r="22" spans="1:16" ht="13.5" customHeight="1">
      <c r="A22" s="120"/>
      <c r="B22" s="211"/>
      <c r="C22" s="194"/>
      <c r="D22" s="194"/>
      <c r="E22" s="197"/>
      <c r="F22" s="183" t="s">
        <v>266</v>
      </c>
      <c r="G22" s="127">
        <f>E21</f>
        <v>48</v>
      </c>
      <c r="H22" s="127">
        <f>G22</f>
        <v>48</v>
      </c>
      <c r="I22" s="376"/>
      <c r="J22" s="376"/>
      <c r="K22" s="117"/>
      <c r="L22" s="146"/>
      <c r="M22" s="234"/>
      <c r="N22" s="212"/>
      <c r="O22" s="115"/>
      <c r="P22" s="115"/>
    </row>
    <row r="23" spans="1:16" ht="15" thickBot="1">
      <c r="A23" s="120"/>
      <c r="B23" s="211"/>
      <c r="C23" s="196"/>
      <c r="D23" s="196"/>
      <c r="E23" s="197"/>
      <c r="F23" s="139" t="s">
        <v>247</v>
      </c>
      <c r="G23" s="376"/>
      <c r="H23" s="376"/>
      <c r="I23" s="376"/>
      <c r="J23" s="376"/>
      <c r="K23" s="117"/>
      <c r="L23" s="146"/>
      <c r="M23" s="147"/>
      <c r="N23" s="212"/>
      <c r="O23" s="115"/>
      <c r="P23" s="115"/>
    </row>
    <row r="24" spans="1:16" ht="19" thickBot="1">
      <c r="A24" s="120"/>
      <c r="B24" s="211"/>
      <c r="C24" s="228" t="s">
        <v>360</v>
      </c>
      <c r="D24" s="229"/>
      <c r="E24" s="229"/>
      <c r="F24" s="229"/>
      <c r="G24" s="229"/>
      <c r="H24" s="229"/>
      <c r="I24" s="229"/>
      <c r="J24" s="230"/>
      <c r="K24" s="126"/>
      <c r="L24" s="260"/>
      <c r="M24" s="260"/>
      <c r="N24" s="212"/>
      <c r="O24" s="115"/>
      <c r="P24" s="115"/>
    </row>
    <row r="25" spans="1:16" ht="45.75" customHeight="1" thickBot="1">
      <c r="A25" s="120"/>
      <c r="B25" s="211"/>
      <c r="C25" s="135" t="s">
        <v>163</v>
      </c>
      <c r="D25" s="140" t="s">
        <v>58</v>
      </c>
      <c r="E25" s="137" t="s">
        <v>59</v>
      </c>
      <c r="F25" s="141"/>
      <c r="G25" s="142" t="s">
        <v>367</v>
      </c>
      <c r="H25" s="257" t="s">
        <v>370</v>
      </c>
      <c r="I25" s="144" t="s">
        <v>369</v>
      </c>
      <c r="J25" s="258" t="s">
        <v>368</v>
      </c>
      <c r="K25" s="117"/>
      <c r="L25" s="232"/>
      <c r="M25" s="147"/>
      <c r="N25" s="212"/>
      <c r="O25" s="115"/>
      <c r="P25" s="115"/>
    </row>
    <row r="26" spans="1:16" ht="15.5">
      <c r="A26" s="120"/>
      <c r="B26" s="211"/>
      <c r="C26" s="195">
        <f>IF('Inclination angle'!O12=2,'Inclination angle'!#REF!/'Inclination angle'!#REF!,IF(OR(Consumption!E34=0,'Power acond'!H15=0),"",(Consumption!E34/'Power acond'!J18)/'Power acond'!H15))</f>
        <v>5.2608695652173916</v>
      </c>
      <c r="D26" s="195">
        <f>C26*1.25</f>
        <v>6.5760869565217392</v>
      </c>
      <c r="E26" s="197">
        <f>IF('Power acond'!H15=0,"",'Power acond'!H15)</f>
        <v>230</v>
      </c>
      <c r="F26" s="183" t="s">
        <v>366</v>
      </c>
      <c r="G26" s="138">
        <f>D26*1.25</f>
        <v>8.2201086956521738</v>
      </c>
      <c r="H26" s="138">
        <f>G26</f>
        <v>8.2201086956521738</v>
      </c>
      <c r="I26" s="376"/>
      <c r="J26" s="376"/>
      <c r="K26" s="117"/>
      <c r="L26" s="146"/>
      <c r="M26" s="147"/>
      <c r="N26" s="212"/>
      <c r="O26" s="115"/>
      <c r="P26" s="115"/>
    </row>
    <row r="27" spans="1:16" ht="15.5">
      <c r="A27" s="120"/>
      <c r="B27" s="211"/>
      <c r="C27" s="194"/>
      <c r="D27" s="194"/>
      <c r="E27" s="197"/>
      <c r="F27" s="183" t="s">
        <v>266</v>
      </c>
      <c r="G27" s="127">
        <f>E26</f>
        <v>230</v>
      </c>
      <c r="H27" s="127">
        <f>G27</f>
        <v>230</v>
      </c>
      <c r="I27" s="376"/>
      <c r="J27" s="376"/>
      <c r="K27" s="117"/>
      <c r="L27" s="146"/>
      <c r="M27" s="147"/>
      <c r="N27" s="212"/>
      <c r="O27" s="115"/>
      <c r="P27" s="115"/>
    </row>
    <row r="28" spans="1:16" ht="15" thickBot="1">
      <c r="A28" s="120"/>
      <c r="B28" s="211"/>
      <c r="C28" s="196"/>
      <c r="D28" s="196"/>
      <c r="E28" s="197"/>
      <c r="F28" s="139" t="s">
        <v>247</v>
      </c>
      <c r="G28" s="376"/>
      <c r="H28" s="376"/>
      <c r="I28" s="376"/>
      <c r="J28" s="376"/>
      <c r="K28" s="117"/>
      <c r="L28" s="146"/>
      <c r="M28" s="147"/>
      <c r="N28" s="212"/>
      <c r="O28" s="115"/>
      <c r="P28" s="115"/>
    </row>
    <row r="29" spans="1:16" ht="19" thickBot="1">
      <c r="A29" s="120"/>
      <c r="B29" s="211"/>
      <c r="C29" s="228" t="s">
        <v>361</v>
      </c>
      <c r="D29" s="229"/>
      <c r="E29" s="229"/>
      <c r="F29" s="229"/>
      <c r="G29" s="229"/>
      <c r="H29" s="229"/>
      <c r="I29" s="229"/>
      <c r="J29" s="230"/>
      <c r="K29" s="126"/>
      <c r="L29" s="260"/>
      <c r="M29" s="260"/>
      <c r="N29" s="212"/>
      <c r="O29" s="115"/>
      <c r="P29" s="115"/>
    </row>
    <row r="30" spans="1:16" ht="45.75" customHeight="1" thickBot="1">
      <c r="A30" s="120"/>
      <c r="B30" s="211"/>
      <c r="C30" s="225" t="s">
        <v>357</v>
      </c>
      <c r="D30" s="140" t="s">
        <v>362</v>
      </c>
      <c r="E30" s="225" t="s">
        <v>358</v>
      </c>
      <c r="F30" s="141"/>
      <c r="G30" s="142" t="s">
        <v>349</v>
      </c>
      <c r="H30" s="143" t="s">
        <v>350</v>
      </c>
      <c r="I30" s="144" t="s">
        <v>351</v>
      </c>
      <c r="J30" s="136" t="s">
        <v>352</v>
      </c>
      <c r="K30" s="117"/>
      <c r="L30" s="233"/>
      <c r="M30" s="147"/>
      <c r="N30" s="212"/>
      <c r="O30" s="115"/>
      <c r="P30" s="115"/>
    </row>
    <row r="31" spans="1:16" ht="15.5">
      <c r="A31" s="120"/>
      <c r="B31" s="211"/>
      <c r="C31" s="377"/>
      <c r="D31" s="378">
        <f>C31*1.25</f>
        <v>0</v>
      </c>
      <c r="E31" s="377"/>
      <c r="F31" s="183" t="s">
        <v>366</v>
      </c>
      <c r="G31" s="138">
        <f>D31*1.25</f>
        <v>0</v>
      </c>
      <c r="H31" s="138">
        <f>G31</f>
        <v>0</v>
      </c>
      <c r="I31" s="376">
        <v>19</v>
      </c>
      <c r="J31" s="376"/>
      <c r="K31" s="117"/>
      <c r="L31" s="146"/>
      <c r="M31" s="147"/>
      <c r="N31" s="212"/>
      <c r="O31" s="115"/>
      <c r="P31" s="115"/>
    </row>
    <row r="32" spans="1:16" ht="15.5">
      <c r="A32" s="120"/>
      <c r="B32" s="211"/>
      <c r="C32" s="379"/>
      <c r="D32" s="380"/>
      <c r="E32" s="379"/>
      <c r="F32" s="183" t="s">
        <v>266</v>
      </c>
      <c r="G32" s="127">
        <f>E31</f>
        <v>0</v>
      </c>
      <c r="H32" s="127">
        <f>G32</f>
        <v>0</v>
      </c>
      <c r="I32" s="376">
        <v>24</v>
      </c>
      <c r="J32" s="376"/>
      <c r="K32" s="117"/>
      <c r="L32" s="146"/>
      <c r="M32" s="147"/>
      <c r="N32" s="212"/>
      <c r="O32" s="115"/>
      <c r="P32" s="115"/>
    </row>
    <row r="33" spans="1:16" ht="16.5" customHeight="1" thickBot="1">
      <c r="A33" s="120"/>
      <c r="B33" s="211"/>
      <c r="C33" s="381"/>
      <c r="D33" s="380"/>
      <c r="E33" s="381"/>
      <c r="F33" s="139" t="s">
        <v>247</v>
      </c>
      <c r="G33" s="376"/>
      <c r="H33" s="376"/>
      <c r="I33" s="376"/>
      <c r="J33" s="376"/>
      <c r="K33" s="117"/>
      <c r="L33" s="117"/>
      <c r="M33" s="117"/>
      <c r="N33" s="212"/>
      <c r="O33" s="115"/>
      <c r="P33" s="115"/>
    </row>
    <row r="34" spans="1:16" ht="15.5">
      <c r="A34" s="120"/>
      <c r="B34" s="211"/>
      <c r="C34" s="382"/>
      <c r="D34" s="380">
        <f t="shared" ref="D34" si="0">C34*1.25</f>
        <v>0</v>
      </c>
      <c r="E34" s="382"/>
      <c r="F34" s="183" t="s">
        <v>366</v>
      </c>
      <c r="G34" s="138">
        <f>D34*1.25</f>
        <v>0</v>
      </c>
      <c r="H34" s="138">
        <f>G34</f>
        <v>0</v>
      </c>
      <c r="I34" s="375"/>
      <c r="J34" s="375"/>
      <c r="K34" s="117"/>
      <c r="L34" s="146"/>
      <c r="M34" s="147"/>
      <c r="N34" s="212"/>
      <c r="O34" s="115"/>
      <c r="P34" s="115"/>
    </row>
    <row r="35" spans="1:16" ht="15.5">
      <c r="A35" s="120"/>
      <c r="B35" s="211"/>
      <c r="C35" s="379"/>
      <c r="D35" s="380"/>
      <c r="E35" s="379"/>
      <c r="F35" s="183" t="s">
        <v>266</v>
      </c>
      <c r="G35" s="127">
        <f>E34</f>
        <v>0</v>
      </c>
      <c r="H35" s="127">
        <f>G35</f>
        <v>0</v>
      </c>
      <c r="I35" s="376"/>
      <c r="J35" s="376"/>
      <c r="K35" s="117"/>
      <c r="L35" s="146"/>
      <c r="M35" s="147"/>
      <c r="N35" s="212"/>
      <c r="O35" s="115"/>
      <c r="P35" s="115"/>
    </row>
    <row r="36" spans="1:16" ht="15.75" customHeight="1" thickBot="1">
      <c r="A36" s="120"/>
      <c r="B36" s="211"/>
      <c r="C36" s="381"/>
      <c r="D36" s="380"/>
      <c r="E36" s="381"/>
      <c r="F36" s="139" t="s">
        <v>247</v>
      </c>
      <c r="G36" s="376"/>
      <c r="H36" s="376"/>
      <c r="I36" s="376"/>
      <c r="J36" s="376"/>
      <c r="K36" s="117"/>
      <c r="L36" s="117"/>
      <c r="M36" s="117"/>
      <c r="N36" s="212"/>
      <c r="O36" s="115"/>
      <c r="P36" s="115"/>
    </row>
    <row r="37" spans="1:16" ht="15.5">
      <c r="A37" s="120"/>
      <c r="B37" s="211"/>
      <c r="C37" s="382"/>
      <c r="D37" s="380">
        <f t="shared" ref="D37" si="1">C37*1.25</f>
        <v>0</v>
      </c>
      <c r="E37" s="382"/>
      <c r="F37" s="183" t="s">
        <v>366</v>
      </c>
      <c r="G37" s="138">
        <f>D37*1.25</f>
        <v>0</v>
      </c>
      <c r="H37" s="138">
        <f>G37</f>
        <v>0</v>
      </c>
      <c r="I37" s="375"/>
      <c r="J37" s="375"/>
      <c r="K37" s="117"/>
      <c r="L37" s="146"/>
      <c r="M37" s="147"/>
      <c r="N37" s="212"/>
      <c r="O37" s="115"/>
      <c r="P37" s="115"/>
    </row>
    <row r="38" spans="1:16" ht="15.5">
      <c r="A38" s="120"/>
      <c r="B38" s="211"/>
      <c r="C38" s="379"/>
      <c r="D38" s="380"/>
      <c r="E38" s="379"/>
      <c r="F38" s="183" t="s">
        <v>266</v>
      </c>
      <c r="G38" s="127">
        <f>E37</f>
        <v>0</v>
      </c>
      <c r="H38" s="127">
        <f>G38</f>
        <v>0</v>
      </c>
      <c r="I38" s="376"/>
      <c r="J38" s="376"/>
      <c r="K38" s="117"/>
      <c r="L38" s="146"/>
      <c r="M38" s="147"/>
      <c r="N38" s="212"/>
      <c r="O38" s="115"/>
      <c r="P38" s="115"/>
    </row>
    <row r="39" spans="1:16" ht="15.75" customHeight="1" thickBot="1">
      <c r="A39" s="120"/>
      <c r="B39" s="211"/>
      <c r="C39" s="381"/>
      <c r="D39" s="380"/>
      <c r="E39" s="381"/>
      <c r="F39" s="139" t="s">
        <v>247</v>
      </c>
      <c r="G39" s="376"/>
      <c r="H39" s="376"/>
      <c r="I39" s="376"/>
      <c r="J39" s="376"/>
      <c r="K39" s="117"/>
      <c r="L39" s="117"/>
      <c r="M39" s="117"/>
      <c r="N39" s="212"/>
      <c r="O39" s="115"/>
      <c r="P39" s="115"/>
    </row>
    <row r="40" spans="1:16" ht="15.5">
      <c r="A40" s="120"/>
      <c r="B40" s="211"/>
      <c r="C40" s="382"/>
      <c r="D40" s="380">
        <f>C40*1.25</f>
        <v>0</v>
      </c>
      <c r="E40" s="382"/>
      <c r="F40" s="183" t="s">
        <v>366</v>
      </c>
      <c r="G40" s="138">
        <f>D40*1.25</f>
        <v>0</v>
      </c>
      <c r="H40" s="138">
        <f>G40</f>
        <v>0</v>
      </c>
      <c r="I40" s="375"/>
      <c r="J40" s="375"/>
      <c r="K40" s="117"/>
      <c r="L40" s="146"/>
      <c r="M40" s="147"/>
      <c r="N40" s="212"/>
      <c r="O40" s="115"/>
      <c r="P40" s="115"/>
    </row>
    <row r="41" spans="1:16" ht="15.5">
      <c r="A41" s="120"/>
      <c r="B41" s="211"/>
      <c r="C41" s="379"/>
      <c r="D41" s="380"/>
      <c r="E41" s="379"/>
      <c r="F41" s="183" t="s">
        <v>266</v>
      </c>
      <c r="G41" s="127">
        <f>E40</f>
        <v>0</v>
      </c>
      <c r="H41" s="127">
        <f>G41</f>
        <v>0</v>
      </c>
      <c r="I41" s="376"/>
      <c r="J41" s="376"/>
      <c r="K41" s="117"/>
      <c r="L41" s="146"/>
      <c r="M41" s="147"/>
      <c r="N41" s="212"/>
      <c r="O41" s="115"/>
      <c r="P41" s="115"/>
    </row>
    <row r="42" spans="1:16" ht="15.75" customHeight="1" thickBot="1">
      <c r="A42" s="120"/>
      <c r="B42" s="211"/>
      <c r="C42" s="381"/>
      <c r="D42" s="380"/>
      <c r="E42" s="381"/>
      <c r="F42" s="139" t="s">
        <v>247</v>
      </c>
      <c r="G42" s="376"/>
      <c r="H42" s="376"/>
      <c r="I42" s="376"/>
      <c r="J42" s="376"/>
      <c r="K42" s="117"/>
      <c r="L42" s="117"/>
      <c r="M42" s="117"/>
      <c r="N42" s="212"/>
      <c r="O42" s="115"/>
      <c r="P42" s="115"/>
    </row>
    <row r="43" spans="1:16" ht="13" thickBot="1">
      <c r="A43" s="120"/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  <c r="O43" s="115"/>
      <c r="P43" s="115"/>
    </row>
    <row r="44" spans="1:16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16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16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16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16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1:16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6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6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1:16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1:16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1:16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1:16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</sheetData>
  <sheetProtection password="9853" sheet="1" objects="1" scenarios="1" selectLockedCells="1"/>
  <protectedRanges>
    <protectedRange sqref="I11:J12 G13 I16:J17 G18 I21:J22 G23 I26:J27 G28 E31:E42 C31:C42 I31:J42 G42:H42 G33:H33 G36:H36 G39:H39" name="Desprotegida"/>
  </protectedRanges>
  <mergeCells count="38">
    <mergeCell ref="E16:E18"/>
    <mergeCell ref="E40:E42"/>
    <mergeCell ref="J5:L5"/>
    <mergeCell ref="J3:L3"/>
    <mergeCell ref="C9:J9"/>
    <mergeCell ref="D3:F3"/>
    <mergeCell ref="D5:F5"/>
    <mergeCell ref="L9:M9"/>
    <mergeCell ref="C26:C28"/>
    <mergeCell ref="D26:D28"/>
    <mergeCell ref="E26:E28"/>
    <mergeCell ref="C24:J24"/>
    <mergeCell ref="D37:D39"/>
    <mergeCell ref="C34:C36"/>
    <mergeCell ref="C29:J29"/>
    <mergeCell ref="C31:C33"/>
    <mergeCell ref="D31:D33"/>
    <mergeCell ref="E31:E33"/>
    <mergeCell ref="C40:C42"/>
    <mergeCell ref="D40:D42"/>
    <mergeCell ref="D34:D36"/>
    <mergeCell ref="E34:E36"/>
    <mergeCell ref="E37:E39"/>
    <mergeCell ref="C37:C39"/>
    <mergeCell ref="L19:M19"/>
    <mergeCell ref="L24:M24"/>
    <mergeCell ref="L29:M29"/>
    <mergeCell ref="C14:J14"/>
    <mergeCell ref="E11:E13"/>
    <mergeCell ref="D11:D13"/>
    <mergeCell ref="C11:C13"/>
    <mergeCell ref="L14:M14"/>
    <mergeCell ref="C21:C23"/>
    <mergeCell ref="D21:D23"/>
    <mergeCell ref="E21:E23"/>
    <mergeCell ref="C16:C18"/>
    <mergeCell ref="D16:D18"/>
    <mergeCell ref="C19:J19"/>
  </mergeCells>
  <phoneticPr fontId="12" type="noConversion"/>
  <printOptions horizontalCentered="1" verticalCentered="1"/>
  <pageMargins left="0" right="0" top="0" bottom="0" header="0" footer="0"/>
  <pageSetup paperSize="9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A1:V37"/>
  <sheetViews>
    <sheetView showGridLines="0" zoomScale="80" zoomScaleNormal="75" workbookViewId="0">
      <selection activeCell="D25" sqref="D25:G26"/>
    </sheetView>
  </sheetViews>
  <sheetFormatPr baseColWidth="10" defaultRowHeight="12.5"/>
  <cols>
    <col min="1" max="1" width="6.7265625" customWidth="1"/>
    <col min="2" max="2" width="8.7265625" customWidth="1"/>
    <col min="3" max="3" width="26.26953125" customWidth="1"/>
    <col min="4" max="4" width="10.1796875" customWidth="1"/>
    <col min="5" max="5" width="12.453125" customWidth="1"/>
    <col min="6" max="6" width="11.1796875" customWidth="1"/>
    <col min="7" max="8" width="10.1796875" customWidth="1"/>
    <col min="9" max="9" width="11.1796875" customWidth="1"/>
    <col min="10" max="10" width="15.7265625" customWidth="1"/>
    <col min="11" max="11" width="10.453125" customWidth="1"/>
    <col min="12" max="12" width="11.26953125" customWidth="1"/>
    <col min="13" max="13" width="12.81640625" customWidth="1"/>
    <col min="14" max="14" width="12.54296875" customWidth="1"/>
    <col min="15" max="16" width="19.453125" customWidth="1"/>
    <col min="21" max="22" width="8.7265625" customWidth="1"/>
  </cols>
  <sheetData>
    <row r="1" spans="1:22" ht="13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>
      <c r="A2" s="11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59"/>
      <c r="R2" s="259"/>
      <c r="S2" s="259"/>
      <c r="T2" s="210"/>
      <c r="U2" s="115"/>
      <c r="V2" s="115"/>
    </row>
    <row r="3" spans="1:22" ht="15.5">
      <c r="A3" s="117"/>
      <c r="B3" s="211"/>
      <c r="C3" s="116" t="s">
        <v>172</v>
      </c>
      <c r="D3" s="187" t="str">
        <f>Consumption!D3</f>
        <v>HOUSING</v>
      </c>
      <c r="E3" s="187"/>
      <c r="F3" s="187"/>
      <c r="G3" s="120"/>
      <c r="H3" s="130"/>
      <c r="I3" s="116" t="s">
        <v>174</v>
      </c>
      <c r="J3" s="187" t="str">
        <f>Consumption!H3</f>
        <v>POLAND</v>
      </c>
      <c r="K3" s="187"/>
      <c r="L3" s="187"/>
      <c r="M3" s="120"/>
      <c r="N3" s="120"/>
      <c r="O3" s="117"/>
      <c r="P3" s="117"/>
      <c r="Q3" s="117"/>
      <c r="R3" s="117"/>
      <c r="S3" s="117"/>
      <c r="T3" s="212"/>
      <c r="U3" s="115"/>
      <c r="V3" s="115"/>
    </row>
    <row r="4" spans="1:22">
      <c r="A4" s="117"/>
      <c r="B4" s="211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212"/>
      <c r="U4" s="115"/>
      <c r="V4" s="115"/>
    </row>
    <row r="5" spans="1:22" ht="15.5">
      <c r="A5" s="117"/>
      <c r="B5" s="211"/>
      <c r="C5" s="116" t="s">
        <v>173</v>
      </c>
      <c r="D5" s="187" t="str">
        <f>Consumption!D5</f>
        <v>VIPSKILLS</v>
      </c>
      <c r="E5" s="187"/>
      <c r="F5" s="187"/>
      <c r="G5" s="120"/>
      <c r="H5" s="130"/>
      <c r="I5" s="116" t="s">
        <v>175</v>
      </c>
      <c r="J5" s="187">
        <f>Consumption!H5</f>
        <v>42920</v>
      </c>
      <c r="K5" s="187"/>
      <c r="L5" s="187"/>
      <c r="M5" s="120"/>
      <c r="N5" s="120"/>
      <c r="O5" s="117"/>
      <c r="P5" s="117"/>
      <c r="Q5" s="117"/>
      <c r="R5" s="117"/>
      <c r="S5" s="117"/>
      <c r="T5" s="212"/>
      <c r="U5" s="115"/>
      <c r="V5" s="115"/>
    </row>
    <row r="6" spans="1:22" ht="15.5">
      <c r="A6" s="117"/>
      <c r="B6" s="211"/>
      <c r="C6" s="116"/>
      <c r="D6" s="182"/>
      <c r="E6" s="182"/>
      <c r="F6" s="182"/>
      <c r="G6" s="120"/>
      <c r="H6" s="130"/>
      <c r="I6" s="116"/>
      <c r="J6" s="182"/>
      <c r="K6" s="182"/>
      <c r="L6" s="182"/>
      <c r="M6" s="120"/>
      <c r="N6" s="120"/>
      <c r="O6" s="117"/>
      <c r="P6" s="117"/>
      <c r="Q6" s="117"/>
      <c r="R6" s="117"/>
      <c r="S6" s="117"/>
      <c r="T6" s="212"/>
      <c r="U6" s="115"/>
      <c r="V6" s="115"/>
    </row>
    <row r="7" spans="1:22" ht="20">
      <c r="A7" s="117"/>
      <c r="B7" s="211"/>
      <c r="C7" s="128" t="s">
        <v>371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212"/>
      <c r="U7" s="115"/>
      <c r="V7" s="115"/>
    </row>
    <row r="8" spans="1:22" ht="14.25" customHeight="1" thickBot="1">
      <c r="A8" s="117"/>
      <c r="B8" s="211"/>
      <c r="C8" s="128"/>
      <c r="D8" s="117"/>
      <c r="E8" s="117"/>
      <c r="F8" s="198"/>
      <c r="G8" s="198"/>
      <c r="H8" s="117"/>
      <c r="I8" s="151"/>
      <c r="J8" s="152"/>
      <c r="K8" s="198"/>
      <c r="L8" s="198"/>
      <c r="M8" s="198"/>
      <c r="N8" s="117"/>
      <c r="O8" s="117"/>
      <c r="P8" s="117"/>
      <c r="Q8" s="117"/>
      <c r="R8" s="117"/>
      <c r="S8" s="117"/>
      <c r="T8" s="212"/>
      <c r="U8" s="115"/>
      <c r="V8" s="115"/>
    </row>
    <row r="9" spans="1:22" ht="65.25" customHeight="1">
      <c r="A9" s="117"/>
      <c r="B9" s="211"/>
      <c r="C9" s="148" t="s">
        <v>372</v>
      </c>
      <c r="D9" s="149" t="s">
        <v>265</v>
      </c>
      <c r="E9" s="149" t="s">
        <v>357</v>
      </c>
      <c r="F9" s="236" t="s">
        <v>373</v>
      </c>
      <c r="G9" s="236" t="s">
        <v>374</v>
      </c>
      <c r="H9" s="150" t="s">
        <v>375</v>
      </c>
      <c r="I9" s="236" t="s">
        <v>376</v>
      </c>
      <c r="J9" s="150" t="s">
        <v>377</v>
      </c>
      <c r="K9" s="236" t="s">
        <v>378</v>
      </c>
      <c r="L9" s="236" t="s">
        <v>379</v>
      </c>
      <c r="M9" s="236" t="s">
        <v>380</v>
      </c>
      <c r="N9" s="150" t="s">
        <v>381</v>
      </c>
      <c r="O9" s="150" t="s">
        <v>382</v>
      </c>
      <c r="P9" s="154" t="s">
        <v>383</v>
      </c>
      <c r="Q9" s="153"/>
      <c r="R9" s="260"/>
      <c r="S9" s="260"/>
      <c r="T9" s="212"/>
      <c r="U9" s="115"/>
      <c r="V9" s="115"/>
    </row>
    <row r="10" spans="1:22" ht="14.5">
      <c r="A10" s="117"/>
      <c r="B10" s="211"/>
      <c r="C10" s="200" t="s">
        <v>384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2"/>
      <c r="Q10" s="117"/>
      <c r="R10" s="235"/>
      <c r="S10" s="146"/>
      <c r="T10" s="212"/>
      <c r="U10" s="115"/>
      <c r="V10" s="115"/>
    </row>
    <row r="11" spans="1:22" ht="15.5">
      <c r="A11" s="117"/>
      <c r="B11" s="211"/>
      <c r="C11" s="184" t="s">
        <v>391</v>
      </c>
      <c r="D11" s="103">
        <f>IF('Inclination angle'!$O$12=2,'Inclination angle'!#REF!,Consumption!$F$34)</f>
        <v>220</v>
      </c>
      <c r="E11" s="94">
        <f>Protection!D11</f>
        <v>6.2624999999999993</v>
      </c>
      <c r="F11" s="355">
        <v>8</v>
      </c>
      <c r="G11" s="356">
        <v>1.5</v>
      </c>
      <c r="H11" s="127">
        <f>IF(G11=0,"",(200*0.0178*F11*E11)/(G11*D11))</f>
        <v>0.54047272727272722</v>
      </c>
      <c r="I11" s="363">
        <v>10</v>
      </c>
      <c r="J11" s="127">
        <f>IF(I11=0,0,(200*0.0178*E11*F11)/(I11*D11))</f>
        <v>8.1070909090909082E-2</v>
      </c>
      <c r="K11" s="355">
        <v>49</v>
      </c>
      <c r="L11" s="366">
        <v>1</v>
      </c>
      <c r="M11" s="356">
        <v>1</v>
      </c>
      <c r="N11" s="127">
        <f>K11*L11*M11</f>
        <v>49</v>
      </c>
      <c r="O11" s="127" t="str">
        <f>IF(OR(N11&lt;Protection!I11,N11&lt;Protection!J11),"no correct section","correct section")</f>
        <v>correct section</v>
      </c>
      <c r="P11" s="127" t="str">
        <f>IF(N11&lt;=E11,"no correct section","correct section")</f>
        <v>correct section</v>
      </c>
      <c r="Q11" s="117"/>
      <c r="R11" s="146"/>
      <c r="S11" s="146"/>
      <c r="T11" s="212"/>
      <c r="U11" s="115"/>
      <c r="V11" s="115"/>
    </row>
    <row r="12" spans="1:22" ht="15.5" hidden="1">
      <c r="A12" s="117"/>
      <c r="B12" s="211"/>
      <c r="C12" s="184" t="s">
        <v>60</v>
      </c>
      <c r="D12" s="103">
        <f>IF('Inclination angle'!$O$12=2,'Inclination angle'!#REF!,Consumption!$F$34)</f>
        <v>220</v>
      </c>
      <c r="E12" s="94">
        <f>Protection!D16</f>
        <v>2.1818181818181817</v>
      </c>
      <c r="F12" s="357"/>
      <c r="G12" s="358"/>
      <c r="H12" s="127" t="str">
        <f>IF(G12=0,"",(200*0.0178*F12*E12)/(G12*D12))</f>
        <v/>
      </c>
      <c r="I12" s="364"/>
      <c r="J12" s="127">
        <f t="shared" ref="J12:J16" si="0">IF(I12=0,0,(200*0.0178*E12*F12)/(I12*D12))</f>
        <v>0</v>
      </c>
      <c r="K12" s="367"/>
      <c r="L12" s="366"/>
      <c r="M12" s="356"/>
      <c r="N12" s="127">
        <f>K12*L12*M12</f>
        <v>0</v>
      </c>
      <c r="O12" s="127" t="str">
        <f>IF(OR(N12&lt;Protection!I16,N12&lt;Protection!J16),"sección incorrecta","sección correcta")</f>
        <v>sección correcta</v>
      </c>
      <c r="P12" s="127" t="str">
        <f>IF(N12&lt;=E12,"sección incorrecta","sección correcta")</f>
        <v>sección incorrecta</v>
      </c>
      <c r="Q12" s="117"/>
      <c r="R12" s="146"/>
      <c r="S12" s="146"/>
      <c r="T12" s="212"/>
      <c r="U12" s="115"/>
      <c r="V12" s="115"/>
    </row>
    <row r="13" spans="1:22" ht="15.5">
      <c r="A13" s="117"/>
      <c r="B13" s="211"/>
      <c r="C13" s="184" t="s">
        <v>392</v>
      </c>
      <c r="D13" s="103">
        <f>IF('Inclination angle'!$O$12=2,'Inclination angle'!#REF!,Consumption!$F$34)</f>
        <v>220</v>
      </c>
      <c r="E13" s="94">
        <f>IF(Consumption!K12=0,0,'Power acond'!H17/'Power acond'!H14)</f>
        <v>208.33333333333334</v>
      </c>
      <c r="F13" s="357">
        <v>2</v>
      </c>
      <c r="G13" s="359">
        <v>1.5</v>
      </c>
      <c r="H13" s="127">
        <f>IF(G13=0,"",(200*0.0178*F13*E13)/(G13*D13))</f>
        <v>4.4949494949494957</v>
      </c>
      <c r="I13" s="364">
        <v>50</v>
      </c>
      <c r="J13" s="127">
        <f t="shared" si="0"/>
        <v>0.13484848484848486</v>
      </c>
      <c r="K13" s="357">
        <v>130</v>
      </c>
      <c r="L13" s="368">
        <v>1</v>
      </c>
      <c r="M13" s="359">
        <v>1</v>
      </c>
      <c r="N13" s="127">
        <f>K13*L13*M13</f>
        <v>130</v>
      </c>
      <c r="O13" s="127" t="str">
        <f>IF(OR(N13&lt;Protection!I21,N13&lt;Protection!J21),"no correct section","correct section")</f>
        <v>correct section</v>
      </c>
      <c r="P13" s="127" t="str">
        <f>IF(N13&lt;=E13,"no correct section","correct section")</f>
        <v>no correct section</v>
      </c>
      <c r="Q13" s="117"/>
      <c r="R13" s="146"/>
      <c r="S13" s="146"/>
      <c r="T13" s="212"/>
      <c r="U13" s="115"/>
      <c r="V13" s="115"/>
    </row>
    <row r="14" spans="1:22" ht="15.5">
      <c r="A14" s="117"/>
      <c r="B14" s="211"/>
      <c r="C14" s="184" t="s">
        <v>393</v>
      </c>
      <c r="D14" s="103">
        <f>IF('Inclination angle'!$O$12=2,'Inclination angle'!#REF!,Consumption!$F$34)</f>
        <v>220</v>
      </c>
      <c r="E14" s="94">
        <f>E11*0.96</f>
        <v>6.0119999999999987</v>
      </c>
      <c r="F14" s="360">
        <v>6</v>
      </c>
      <c r="G14" s="358">
        <v>1.5</v>
      </c>
      <c r="H14" s="127">
        <f>IF(G14=0,"",(200*0.0178*F14*E14)/(G14*D14))</f>
        <v>0.38914036363636351</v>
      </c>
      <c r="I14" s="365">
        <v>10</v>
      </c>
      <c r="J14" s="127">
        <f t="shared" si="0"/>
        <v>5.8371054545454541E-2</v>
      </c>
      <c r="K14" s="369">
        <v>49</v>
      </c>
      <c r="L14" s="370">
        <v>1</v>
      </c>
      <c r="M14" s="358">
        <v>1</v>
      </c>
      <c r="N14" s="127">
        <f>K14*L14*M14</f>
        <v>49</v>
      </c>
      <c r="O14" s="127" t="str">
        <f>IF(OR(N14&lt;Protection!I11,N14&lt;Protection!J11),"no correct section","correct section")</f>
        <v>correct section</v>
      </c>
      <c r="P14" s="127" t="str">
        <f>IF(N14&lt;=E14,"no correct section","correct section")</f>
        <v>correct section</v>
      </c>
      <c r="Q14" s="117"/>
      <c r="R14" s="146"/>
      <c r="S14" s="146"/>
      <c r="T14" s="212"/>
      <c r="U14" s="115"/>
      <c r="V14" s="115"/>
    </row>
    <row r="15" spans="1:22" ht="14.5">
      <c r="A15" s="117"/>
      <c r="B15" s="211"/>
      <c r="C15" s="200" t="s">
        <v>385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2"/>
      <c r="Q15" s="117"/>
      <c r="R15" s="146"/>
      <c r="S15" s="146"/>
      <c r="T15" s="212"/>
      <c r="U15" s="115"/>
      <c r="V15" s="115"/>
    </row>
    <row r="16" spans="1:22" ht="15.5">
      <c r="A16" s="117"/>
      <c r="B16" s="211"/>
      <c r="C16" s="184" t="s">
        <v>394</v>
      </c>
      <c r="D16" s="103">
        <f>Protection!E26</f>
        <v>230</v>
      </c>
      <c r="E16" s="94">
        <f>Protection!D26</f>
        <v>6.5760869565217392</v>
      </c>
      <c r="F16" s="361">
        <v>50</v>
      </c>
      <c r="G16" s="362">
        <v>2</v>
      </c>
      <c r="H16" s="127">
        <f>IF(G16=0,"",(200*0.0178*F16*E16)/(G16*D16))</f>
        <v>2.5446597353497165</v>
      </c>
      <c r="I16" s="371">
        <v>10</v>
      </c>
      <c r="J16" s="127">
        <f t="shared" si="0"/>
        <v>0.50893194706994338</v>
      </c>
      <c r="K16" s="361">
        <v>50</v>
      </c>
      <c r="L16" s="372">
        <v>1</v>
      </c>
      <c r="M16" s="362">
        <v>1</v>
      </c>
      <c r="N16" s="127">
        <f>K16*L16*M16</f>
        <v>50</v>
      </c>
      <c r="O16" s="127" t="str">
        <f>IF(OR(N16&lt;Protection!I26,N16&lt;Protection!J26),"no correct section","correct section")</f>
        <v>correct section</v>
      </c>
      <c r="P16" s="127" t="str">
        <f>IF(N16&lt;=E16,"no correct section","correct section")</f>
        <v>correct section</v>
      </c>
      <c r="Q16" s="117"/>
      <c r="R16" s="146"/>
      <c r="S16" s="146"/>
      <c r="T16" s="212"/>
      <c r="U16" s="115"/>
      <c r="V16" s="115"/>
    </row>
    <row r="17" spans="1:22" ht="14.5">
      <c r="A17" s="117"/>
      <c r="B17" s="211"/>
      <c r="C17" s="200" t="s">
        <v>386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2"/>
      <c r="Q17" s="117"/>
      <c r="R17" s="146"/>
      <c r="S17" s="146"/>
      <c r="T17" s="212"/>
      <c r="U17" s="115"/>
      <c r="V17" s="115"/>
    </row>
    <row r="18" spans="1:22" ht="15.5">
      <c r="A18" s="117"/>
      <c r="B18" s="211"/>
      <c r="C18" s="184"/>
      <c r="D18" s="367"/>
      <c r="E18" s="366"/>
      <c r="F18" s="366"/>
      <c r="G18" s="356"/>
      <c r="H18" s="127" t="str">
        <f>IF(G18=0,"",(200*0.0178*F18*E18)/(G18*D18))</f>
        <v/>
      </c>
      <c r="I18" s="363"/>
      <c r="J18" s="127">
        <v>1</v>
      </c>
      <c r="K18" s="355"/>
      <c r="L18" s="366"/>
      <c r="M18" s="356"/>
      <c r="N18" s="127">
        <f>K18*L18*M18</f>
        <v>0</v>
      </c>
      <c r="O18" s="127" t="str">
        <f>IF(OR(N18&lt;Protection!I31,N18&lt;Protection!J31),"no correct section","correct section")</f>
        <v>no correct section</v>
      </c>
      <c r="P18" s="127" t="str">
        <f>IF(N18&lt;=E18,"no correct section","correct section")</f>
        <v>no correct section</v>
      </c>
      <c r="Q18" s="117"/>
      <c r="R18" s="146"/>
      <c r="S18" s="146"/>
      <c r="T18" s="212"/>
      <c r="U18" s="115"/>
      <c r="V18" s="115"/>
    </row>
    <row r="19" spans="1:22" ht="15.5">
      <c r="A19" s="117"/>
      <c r="B19" s="211"/>
      <c r="C19" s="184"/>
      <c r="D19" s="357"/>
      <c r="E19" s="368"/>
      <c r="F19" s="368"/>
      <c r="G19" s="359"/>
      <c r="H19" s="127" t="str">
        <f>IF(G19=0,"",(200*0.0178*F19*E19)/(G19*D19))</f>
        <v/>
      </c>
      <c r="I19" s="364"/>
      <c r="J19" s="127" t="str">
        <f>IF(I19=0,"",(200*0.0178*E19*F19)/(I19*D19))</f>
        <v/>
      </c>
      <c r="K19" s="367"/>
      <c r="L19" s="366"/>
      <c r="M19" s="356"/>
      <c r="N19" s="127">
        <f>K19*L19*M19</f>
        <v>0</v>
      </c>
      <c r="O19" s="127" t="str">
        <f>IF(OR(N19&lt;Protection!I34,N19&lt;Protection!J37),"no correct section","correct section")</f>
        <v>correct section</v>
      </c>
      <c r="P19" s="127" t="str">
        <f>IF(N19&lt;=E19,"no correct section","correct section")</f>
        <v>no correct section</v>
      </c>
      <c r="Q19" s="117"/>
      <c r="R19" s="146"/>
      <c r="S19" s="146"/>
      <c r="T19" s="212"/>
      <c r="U19" s="115"/>
      <c r="V19" s="115"/>
    </row>
    <row r="20" spans="1:22" ht="15.5">
      <c r="A20" s="117"/>
      <c r="B20" s="211"/>
      <c r="C20" s="184"/>
      <c r="D20" s="357"/>
      <c r="E20" s="368"/>
      <c r="F20" s="368"/>
      <c r="G20" s="359"/>
      <c r="H20" s="127" t="str">
        <f>IF(G20=0,"",(200*0.0178*F20*E20)/(G20*D20))</f>
        <v/>
      </c>
      <c r="I20" s="364"/>
      <c r="J20" s="127" t="str">
        <f>IF(I20=0,"",(200*0.0178*E20*F20)/(I20*D20))</f>
        <v/>
      </c>
      <c r="K20" s="357"/>
      <c r="L20" s="368"/>
      <c r="M20" s="359"/>
      <c r="N20" s="127">
        <f>K20*L20*M20</f>
        <v>0</v>
      </c>
      <c r="O20" s="127" t="str">
        <f>IF(OR(N20&lt;Protection!I37,N20&lt;Protection!J37),"no correct section","correct section")</f>
        <v>correct section</v>
      </c>
      <c r="P20" s="127" t="str">
        <f>IF(N20&lt;=E20,"no correct section","correct section")</f>
        <v>no correct section</v>
      </c>
      <c r="Q20" s="117"/>
      <c r="R20" s="146"/>
      <c r="S20" s="146"/>
      <c r="T20" s="212"/>
      <c r="U20" s="115"/>
      <c r="V20" s="115"/>
    </row>
    <row r="21" spans="1:22" ht="15.5">
      <c r="A21" s="117"/>
      <c r="B21" s="211"/>
      <c r="C21" s="184"/>
      <c r="D21" s="369"/>
      <c r="E21" s="370"/>
      <c r="F21" s="370"/>
      <c r="G21" s="358"/>
      <c r="H21" s="127" t="str">
        <f>IF(G21=0,"",(200*0.0178*F21*E21)/(G21*D21))</f>
        <v/>
      </c>
      <c r="I21" s="365"/>
      <c r="J21" s="127" t="str">
        <f>IF(I21=0,"",(200*0.0178*E21*F21)/(I21*D21))</f>
        <v/>
      </c>
      <c r="K21" s="369"/>
      <c r="L21" s="370"/>
      <c r="M21" s="358"/>
      <c r="N21" s="127">
        <f>K21*L21*M21</f>
        <v>0</v>
      </c>
      <c r="O21" s="127" t="str">
        <f>IF(OR(N21&lt;Protection!I40,N21&lt;Protection!J40),"no correct section","correct section")</f>
        <v>correct section</v>
      </c>
      <c r="P21" s="127" t="str">
        <f>IF(N21&lt;=E21,"no correct section","correct section")</f>
        <v>no correct section</v>
      </c>
      <c r="Q21" s="117"/>
      <c r="R21" s="146"/>
      <c r="S21" s="146"/>
      <c r="T21" s="212"/>
      <c r="U21" s="115"/>
      <c r="V21" s="115"/>
    </row>
    <row r="22" spans="1:22" ht="14.5">
      <c r="A22" s="117"/>
      <c r="B22" s="211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  <c r="Q22" s="117"/>
      <c r="R22" s="117"/>
      <c r="S22" s="117"/>
      <c r="T22" s="212"/>
      <c r="U22" s="115"/>
      <c r="V22" s="115"/>
    </row>
    <row r="23" spans="1:22" ht="12.75" customHeight="1">
      <c r="A23" s="117"/>
      <c r="B23" s="211"/>
      <c r="C23" s="199" t="s">
        <v>389</v>
      </c>
      <c r="D23" s="237" t="s">
        <v>387</v>
      </c>
      <c r="E23" s="238"/>
      <c r="F23" s="238"/>
      <c r="G23" s="239"/>
      <c r="H23" s="240" t="s">
        <v>388</v>
      </c>
      <c r="I23" s="238"/>
      <c r="J23" s="238"/>
      <c r="K23" s="238"/>
      <c r="L23" s="238"/>
      <c r="M23" s="238"/>
      <c r="N23" s="238"/>
      <c r="O23" s="238"/>
      <c r="P23" s="238"/>
      <c r="Q23" s="117"/>
      <c r="R23" s="117"/>
      <c r="S23" s="117"/>
      <c r="T23" s="212"/>
      <c r="U23" s="115"/>
      <c r="V23" s="115"/>
    </row>
    <row r="24" spans="1:22" ht="37.5" customHeight="1">
      <c r="A24" s="117"/>
      <c r="B24" s="211"/>
      <c r="C24" s="199"/>
      <c r="D24" s="373"/>
      <c r="E24" s="373"/>
      <c r="F24" s="373"/>
      <c r="G24" s="373"/>
      <c r="H24" s="374"/>
      <c r="I24" s="374"/>
      <c r="J24" s="374"/>
      <c r="K24" s="374"/>
      <c r="L24" s="374"/>
      <c r="M24" s="374"/>
      <c r="N24" s="374"/>
      <c r="O24" s="374"/>
      <c r="P24" s="374"/>
      <c r="Q24" s="117"/>
      <c r="R24" s="117"/>
      <c r="S24" s="117"/>
      <c r="T24" s="212"/>
      <c r="U24" s="115"/>
      <c r="V24" s="115"/>
    </row>
    <row r="25" spans="1:22" ht="37.5" customHeight="1">
      <c r="A25" s="117"/>
      <c r="B25" s="211"/>
      <c r="C25" s="199" t="s">
        <v>390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117"/>
      <c r="R25" s="117"/>
      <c r="S25" s="117"/>
      <c r="T25" s="212"/>
      <c r="U25" s="115"/>
      <c r="V25" s="115"/>
    </row>
    <row r="26" spans="1:22" ht="13.5" customHeight="1">
      <c r="A26" s="117"/>
      <c r="B26" s="214"/>
      <c r="C26" s="199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117"/>
      <c r="R26" s="117"/>
      <c r="S26" s="117"/>
      <c r="T26" s="212"/>
      <c r="U26" s="115"/>
      <c r="V26" s="115"/>
    </row>
    <row r="27" spans="1:22">
      <c r="A27" s="117"/>
      <c r="B27" s="21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212"/>
      <c r="U27" s="115"/>
      <c r="V27" s="115"/>
    </row>
    <row r="28" spans="1:22" ht="13" thickBot="1">
      <c r="A28" s="117"/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7"/>
      <c r="U28" s="115"/>
      <c r="V28" s="115"/>
    </row>
    <row r="29" spans="1:2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  <row r="31" spans="1:2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</row>
    <row r="32" spans="1:2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</row>
    <row r="33" spans="1:2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  <row r="34" spans="1:2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</row>
    <row r="35" spans="1:2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  <row r="37" spans="1:2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</sheetData>
  <sheetProtection password="9853" sheet="1" objects="1" scenarios="1" selectLockedCells="1"/>
  <protectedRanges>
    <protectedRange sqref="F11:G14 I11:I14 K11:N14 F16:G16 I16 K16:N16 D18:G21 I18:I21 D24:P25 K18:N21" name="Desprotegidos"/>
  </protectedRanges>
  <mergeCells count="19">
    <mergeCell ref="R9:S9"/>
    <mergeCell ref="C25:C26"/>
    <mergeCell ref="D25:G26"/>
    <mergeCell ref="H25:P26"/>
    <mergeCell ref="C23:C24"/>
    <mergeCell ref="C10:P10"/>
    <mergeCell ref="C15:P15"/>
    <mergeCell ref="C17:P17"/>
    <mergeCell ref="C22:P22"/>
    <mergeCell ref="H23:P23"/>
    <mergeCell ref="H24:P24"/>
    <mergeCell ref="D23:G23"/>
    <mergeCell ref="D24:G24"/>
    <mergeCell ref="D3:F3"/>
    <mergeCell ref="D5:F5"/>
    <mergeCell ref="J3:L3"/>
    <mergeCell ref="J5:L5"/>
    <mergeCell ref="F8:G8"/>
    <mergeCell ref="K8:M8"/>
  </mergeCells>
  <phoneticPr fontId="12" type="noConversion"/>
  <printOptions horizontalCentered="1" verticalCentered="1"/>
  <pageMargins left="0" right="0" top="0" bottom="0" header="0" footer="0"/>
  <pageSetup paperSize="9" scale="51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X108"/>
  <sheetViews>
    <sheetView showGridLines="0" zoomScale="70" zoomScaleNormal="70" workbookViewId="0">
      <selection activeCell="F12" sqref="F12"/>
    </sheetView>
  </sheetViews>
  <sheetFormatPr baseColWidth="10" defaultRowHeight="12.5"/>
  <cols>
    <col min="1" max="1" width="6.81640625" customWidth="1"/>
    <col min="2" max="2" width="8.81640625" customWidth="1"/>
    <col min="3" max="3" width="10.26953125" customWidth="1"/>
    <col min="4" max="4" width="15.1796875" customWidth="1"/>
    <col min="5" max="5" width="14.54296875" customWidth="1"/>
    <col min="6" max="6" width="13" customWidth="1"/>
    <col min="7" max="7" width="14.453125" customWidth="1"/>
    <col min="8" max="8" width="0.1796875" customWidth="1"/>
    <col min="9" max="9" width="15.54296875" customWidth="1"/>
    <col min="10" max="10" width="13.54296875" customWidth="1"/>
    <col min="11" max="11" width="17.453125" customWidth="1"/>
    <col min="12" max="12" width="1" customWidth="1"/>
    <col min="13" max="13" width="18" customWidth="1"/>
    <col min="14" max="14" width="18.1796875" customWidth="1"/>
    <col min="15" max="15" width="1" customWidth="1"/>
    <col min="16" max="17" width="18.54296875" customWidth="1"/>
    <col min="18" max="18" width="18.26953125" customWidth="1"/>
    <col min="19" max="19" width="10" customWidth="1"/>
    <col min="20" max="20" width="15.7265625" hidden="1" customWidth="1"/>
    <col min="21" max="21" width="8.1796875" hidden="1" customWidth="1"/>
    <col min="22" max="22" width="16.1796875" hidden="1" customWidth="1"/>
    <col min="23" max="23" width="17.54296875" hidden="1" customWidth="1"/>
    <col min="24" max="24" width="16.1796875" hidden="1" customWidth="1"/>
    <col min="25" max="25" width="20" hidden="1" customWidth="1"/>
    <col min="26" max="26" width="21.26953125" hidden="1" customWidth="1"/>
    <col min="27" max="27" width="19.7265625" hidden="1" customWidth="1"/>
    <col min="28" max="28" width="22" hidden="1" customWidth="1"/>
    <col min="29" max="29" width="16.7265625" hidden="1" customWidth="1"/>
    <col min="30" max="30" width="20.453125" hidden="1" customWidth="1"/>
    <col min="31" max="31" width="21.54296875" hidden="1" customWidth="1"/>
    <col min="32" max="32" width="22" hidden="1" customWidth="1"/>
    <col min="33" max="33" width="20.1796875" hidden="1" customWidth="1"/>
    <col min="34" max="34" width="20" hidden="1" customWidth="1"/>
    <col min="35" max="35" width="19.1796875" hidden="1" customWidth="1"/>
    <col min="36" max="36" width="18.7265625" hidden="1" customWidth="1"/>
    <col min="37" max="37" width="4.26953125" hidden="1" customWidth="1"/>
    <col min="38" max="38" width="26.81640625" hidden="1" customWidth="1"/>
    <col min="39" max="39" width="25.453125" hidden="1" customWidth="1"/>
    <col min="40" max="40" width="17.7265625" hidden="1" customWidth="1"/>
    <col min="41" max="41" width="18.453125" hidden="1" customWidth="1"/>
    <col min="42" max="42" width="11.81640625" hidden="1" customWidth="1"/>
    <col min="43" max="43" width="5.81640625" hidden="1" customWidth="1"/>
    <col min="44" max="44" width="12.453125" customWidth="1"/>
  </cols>
  <sheetData>
    <row r="1" spans="1:50" ht="13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ht="16.5" customHeight="1">
      <c r="A2" s="117"/>
      <c r="B2" s="316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8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15"/>
      <c r="AS2" s="115"/>
      <c r="AT2" s="115"/>
      <c r="AU2" s="115"/>
      <c r="AV2" s="115"/>
      <c r="AW2" s="115"/>
      <c r="AX2" s="115"/>
    </row>
    <row r="3" spans="1:50" ht="15" customHeight="1">
      <c r="A3" s="117"/>
      <c r="B3" s="319"/>
      <c r="C3" s="320"/>
      <c r="D3" s="321" t="s">
        <v>172</v>
      </c>
      <c r="E3" s="322" t="str">
        <f>Consumption!D3</f>
        <v>HOUSING</v>
      </c>
      <c r="F3" s="322"/>
      <c r="G3" s="322"/>
      <c r="H3" s="322"/>
      <c r="I3" s="323"/>
      <c r="J3" s="324"/>
      <c r="K3" s="321" t="s">
        <v>174</v>
      </c>
      <c r="L3" s="322" t="str">
        <f>Consumption!H3</f>
        <v>POLAND</v>
      </c>
      <c r="M3" s="322"/>
      <c r="N3" s="322"/>
      <c r="O3" s="322"/>
      <c r="P3" s="324"/>
      <c r="Q3" s="324"/>
      <c r="R3" s="324"/>
      <c r="S3" s="325"/>
      <c r="T3" s="3"/>
      <c r="AR3" s="115"/>
      <c r="AS3" s="115"/>
      <c r="AT3" s="115"/>
      <c r="AU3" s="115"/>
      <c r="AV3" s="115"/>
      <c r="AW3" s="115"/>
      <c r="AX3" s="115"/>
    </row>
    <row r="4" spans="1:50" ht="15" customHeight="1">
      <c r="A4" s="117"/>
      <c r="B4" s="319"/>
      <c r="C4" s="32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5"/>
      <c r="T4" s="3"/>
      <c r="AR4" s="115"/>
      <c r="AS4" s="115"/>
      <c r="AT4" s="115"/>
      <c r="AU4" s="115"/>
      <c r="AV4" s="115"/>
      <c r="AW4" s="115"/>
      <c r="AX4" s="115"/>
    </row>
    <row r="5" spans="1:50" ht="15.5">
      <c r="A5" s="117"/>
      <c r="B5" s="319"/>
      <c r="C5" s="320"/>
      <c r="D5" s="321" t="s">
        <v>173</v>
      </c>
      <c r="E5" s="322" t="str">
        <f>Consumption!D5</f>
        <v>VIPSKILLS</v>
      </c>
      <c r="F5" s="322"/>
      <c r="G5" s="322"/>
      <c r="H5" s="322"/>
      <c r="I5" s="323"/>
      <c r="J5" s="324"/>
      <c r="K5" s="321" t="s">
        <v>175</v>
      </c>
      <c r="L5" s="326">
        <f>Consumption!H5</f>
        <v>42920</v>
      </c>
      <c r="M5" s="322"/>
      <c r="N5" s="322"/>
      <c r="O5" s="322"/>
      <c r="P5" s="324"/>
      <c r="Q5" s="324"/>
      <c r="R5" s="324"/>
      <c r="S5" s="325"/>
      <c r="T5" s="3"/>
      <c r="AR5" s="115"/>
      <c r="AS5" s="115"/>
      <c r="AT5" s="115"/>
      <c r="AU5" s="115"/>
      <c r="AV5" s="115"/>
      <c r="AW5" s="115"/>
      <c r="AX5" s="115"/>
    </row>
    <row r="6" spans="1:50" ht="15.5">
      <c r="A6" s="117"/>
      <c r="B6" s="319"/>
      <c r="C6" s="320"/>
      <c r="D6" s="321"/>
      <c r="E6" s="327"/>
      <c r="F6" s="327"/>
      <c r="G6" s="327"/>
      <c r="H6" s="327"/>
      <c r="I6" s="323"/>
      <c r="J6" s="324"/>
      <c r="K6" s="324"/>
      <c r="L6" s="328"/>
      <c r="M6" s="327"/>
      <c r="N6" s="327"/>
      <c r="O6" s="327"/>
      <c r="P6" s="324"/>
      <c r="Q6" s="324"/>
      <c r="R6" s="324"/>
      <c r="S6" s="325"/>
      <c r="T6" s="3"/>
      <c r="AR6" s="115"/>
      <c r="AS6" s="115"/>
      <c r="AT6" s="115"/>
      <c r="AU6" s="115"/>
      <c r="AV6" s="115"/>
      <c r="AW6" s="115"/>
      <c r="AX6" s="115"/>
    </row>
    <row r="7" spans="1:50" ht="20">
      <c r="A7" s="117"/>
      <c r="B7" s="319"/>
      <c r="C7" s="324"/>
      <c r="D7" s="329" t="s">
        <v>395</v>
      </c>
      <c r="E7" s="330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3"/>
      <c r="AR7" s="115"/>
      <c r="AS7" s="115"/>
      <c r="AT7" s="115"/>
      <c r="AU7" s="115"/>
      <c r="AV7" s="115"/>
      <c r="AW7" s="115"/>
      <c r="AX7" s="115"/>
    </row>
    <row r="8" spans="1:50" ht="20.5" thickBot="1">
      <c r="A8" s="117"/>
      <c r="B8" s="319"/>
      <c r="C8" s="324"/>
      <c r="D8" s="330"/>
      <c r="E8" s="330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5"/>
      <c r="T8" s="3"/>
      <c r="AR8" s="115"/>
      <c r="AS8" s="115"/>
      <c r="AT8" s="115"/>
      <c r="AU8" s="115"/>
      <c r="AV8" s="115"/>
      <c r="AW8" s="115"/>
      <c r="AX8" s="115"/>
    </row>
    <row r="9" spans="1:50" ht="24.75" customHeight="1" thickTop="1" thickBot="1">
      <c r="A9" s="117"/>
      <c r="B9" s="279"/>
      <c r="C9" s="280"/>
      <c r="D9" s="283" t="s">
        <v>396</v>
      </c>
      <c r="E9" s="284"/>
      <c r="F9" s="285">
        <v>30</v>
      </c>
      <c r="G9" s="331"/>
      <c r="H9" s="324"/>
      <c r="I9" s="332" t="s">
        <v>400</v>
      </c>
      <c r="J9" s="333"/>
      <c r="K9" s="164" t="str">
        <f>VLOOKUP(V10,C29:D40,2,FALSE)</f>
        <v>June</v>
      </c>
      <c r="L9" s="324"/>
      <c r="M9" s="334"/>
      <c r="N9" s="334"/>
      <c r="O9" s="324"/>
      <c r="P9" s="313" t="b">
        <f>ISERR(M25)</f>
        <v>0</v>
      </c>
      <c r="Q9" s="324"/>
      <c r="R9" s="324"/>
      <c r="S9" s="281"/>
      <c r="T9" s="3"/>
      <c r="AR9" s="115"/>
      <c r="AS9" s="115"/>
      <c r="AT9" s="115"/>
      <c r="AU9" s="115"/>
      <c r="AV9" s="115"/>
      <c r="AW9" s="115"/>
      <c r="AX9" s="115"/>
    </row>
    <row r="10" spans="1:50" ht="24.75" customHeight="1" thickBot="1">
      <c r="A10" s="117"/>
      <c r="B10" s="279"/>
      <c r="C10" s="280"/>
      <c r="D10" s="283" t="s">
        <v>397</v>
      </c>
      <c r="E10" s="284"/>
      <c r="F10" s="315">
        <f>W10/100</f>
        <v>0.19</v>
      </c>
      <c r="G10" s="331"/>
      <c r="H10" s="324"/>
      <c r="I10" s="335" t="s">
        <v>401</v>
      </c>
      <c r="J10" s="336"/>
      <c r="K10" s="163" t="str">
        <f>VLOOKUP(V11,C30:D41,2,FALSE)</f>
        <v>December</v>
      </c>
      <c r="L10" s="337"/>
      <c r="M10" s="338"/>
      <c r="N10" s="338"/>
      <c r="O10" s="339"/>
      <c r="P10" s="313" t="b">
        <f>ISERR(M22)</f>
        <v>0</v>
      </c>
      <c r="Q10" s="324"/>
      <c r="R10" s="339"/>
      <c r="S10" s="288"/>
      <c r="T10" s="93"/>
      <c r="U10" s="38">
        <f>MIN(E29:E40)</f>
        <v>1.256903900599277</v>
      </c>
      <c r="V10" s="43">
        <f>MATCH(U10,E29:E40,0)</f>
        <v>6</v>
      </c>
      <c r="W10" s="43">
        <v>19</v>
      </c>
      <c r="X10" s="38">
        <f>MIN(AO29:AO94)</f>
        <v>51726.58677310955</v>
      </c>
      <c r="AB10" s="35"/>
      <c r="AR10" s="115"/>
      <c r="AS10" s="115"/>
      <c r="AT10" s="115"/>
      <c r="AU10" s="115"/>
      <c r="AV10" s="115"/>
      <c r="AW10" s="115"/>
      <c r="AX10" s="115"/>
    </row>
    <row r="11" spans="1:50" ht="24.75" customHeight="1" thickBot="1">
      <c r="A11" s="117"/>
      <c r="B11" s="279"/>
      <c r="C11" s="280"/>
      <c r="D11" s="283" t="s">
        <v>398</v>
      </c>
      <c r="E11" s="284"/>
      <c r="F11" s="285">
        <v>4450</v>
      </c>
      <c r="G11" s="331"/>
      <c r="H11" s="324"/>
      <c r="I11" s="324"/>
      <c r="J11" s="324"/>
      <c r="K11" s="324"/>
      <c r="L11" s="337"/>
      <c r="M11" s="324"/>
      <c r="N11" s="340"/>
      <c r="O11" s="340"/>
      <c r="P11" s="313" t="b">
        <f>ISERR(M19)</f>
        <v>0</v>
      </c>
      <c r="Q11" s="324"/>
      <c r="R11" s="339"/>
      <c r="S11" s="288"/>
      <c r="T11" s="93"/>
      <c r="U11" s="39">
        <f>MIN(F29:F40)</f>
        <v>2.5</v>
      </c>
      <c r="V11" s="43">
        <f>MATCH(U11,F29:F40,0)</f>
        <v>12</v>
      </c>
      <c r="W11" s="35"/>
      <c r="X11" s="35">
        <f>SMALL(AO29:AO94,2)</f>
        <v>58770.334195146694</v>
      </c>
      <c r="AB11" s="35"/>
      <c r="AR11" s="115"/>
      <c r="AS11" s="115"/>
      <c r="AT11" s="115"/>
      <c r="AU11" s="115"/>
      <c r="AV11" s="115"/>
      <c r="AW11" s="115"/>
      <c r="AX11" s="115"/>
    </row>
    <row r="12" spans="1:50" ht="24" customHeight="1" thickTop="1" thickBot="1">
      <c r="A12" s="117"/>
      <c r="B12" s="279"/>
      <c r="C12" s="280"/>
      <c r="D12" s="283" t="s">
        <v>399</v>
      </c>
      <c r="E12" s="284"/>
      <c r="F12" s="285">
        <v>400</v>
      </c>
      <c r="G12" s="331"/>
      <c r="H12" s="324"/>
      <c r="I12" s="341"/>
      <c r="J12" s="341"/>
      <c r="K12" s="341"/>
      <c r="L12" s="327"/>
      <c r="M12" s="342" t="s">
        <v>414</v>
      </c>
      <c r="N12" s="324"/>
      <c r="O12" s="324"/>
      <c r="P12" s="324"/>
      <c r="Q12" s="324"/>
      <c r="R12" s="339"/>
      <c r="S12" s="288"/>
      <c r="T12" s="93"/>
      <c r="U12" s="35"/>
      <c r="V12" s="35"/>
      <c r="W12" s="35"/>
      <c r="X12" s="35">
        <f>SMALL($AO$29:$AO$94,3)</f>
        <v>61997.900822142932</v>
      </c>
      <c r="AB12" s="35"/>
      <c r="AR12" s="115"/>
      <c r="AS12" s="115"/>
      <c r="AT12" s="115"/>
      <c r="AU12" s="115"/>
      <c r="AV12" s="115"/>
      <c r="AW12" s="115"/>
      <c r="AX12" s="115"/>
    </row>
    <row r="13" spans="1:50" ht="30.75" customHeight="1" thickTop="1" thickBot="1">
      <c r="A13" s="117"/>
      <c r="B13" s="279"/>
      <c r="C13" s="280"/>
      <c r="D13" s="280"/>
      <c r="E13" s="282"/>
      <c r="F13" s="280"/>
      <c r="G13" s="324"/>
      <c r="H13" s="324"/>
      <c r="I13" s="332" t="s">
        <v>415</v>
      </c>
      <c r="J13" s="333"/>
      <c r="K13" s="166">
        <f>MAX(U29:U40)</f>
        <v>36.109701963014622</v>
      </c>
      <c r="L13" s="343"/>
      <c r="M13" s="344">
        <f>K13*F11</f>
        <v>160688.17373541507</v>
      </c>
      <c r="N13" s="324"/>
      <c r="O13" s="324"/>
      <c r="P13" s="340"/>
      <c r="Q13" s="340"/>
      <c r="R13" s="339"/>
      <c r="S13" s="288"/>
      <c r="T13" s="93"/>
      <c r="U13" s="35"/>
      <c r="V13" s="35"/>
      <c r="W13" s="35"/>
      <c r="X13" s="35">
        <f>SMALL($AO$29:$AO$94,4)</f>
        <v>69545.017541245354</v>
      </c>
      <c r="Y13" s="35"/>
      <c r="AB13" s="35"/>
      <c r="AR13" s="115"/>
      <c r="AS13" s="115"/>
      <c r="AT13" s="115"/>
      <c r="AU13" s="115"/>
      <c r="AV13" s="115"/>
      <c r="AW13" s="115"/>
      <c r="AX13" s="115"/>
    </row>
    <row r="14" spans="1:50" ht="33.75" customHeight="1" thickTop="1" thickBot="1">
      <c r="A14" s="117"/>
      <c r="B14" s="279"/>
      <c r="C14" s="280"/>
      <c r="D14" s="280"/>
      <c r="E14" s="282"/>
      <c r="F14" s="280"/>
      <c r="G14" s="324"/>
      <c r="H14" s="324"/>
      <c r="I14" s="335" t="s">
        <v>416</v>
      </c>
      <c r="J14" s="336"/>
      <c r="K14" s="165">
        <f>MAX(V29:V40)</f>
        <v>397.79633357741483</v>
      </c>
      <c r="L14" s="343"/>
      <c r="M14" s="344">
        <f>K14*F12</f>
        <v>159118.53343096594</v>
      </c>
      <c r="N14" s="324"/>
      <c r="O14" s="324"/>
      <c r="P14" s="324"/>
      <c r="Q14" s="324"/>
      <c r="R14" s="324"/>
      <c r="S14" s="281"/>
      <c r="T14" s="3"/>
      <c r="AR14" s="115"/>
      <c r="AS14" s="115"/>
      <c r="AT14" s="115"/>
      <c r="AU14" s="115"/>
      <c r="AV14" s="115"/>
      <c r="AW14" s="115"/>
      <c r="AX14" s="115"/>
    </row>
    <row r="15" spans="1:50" ht="11.25" customHeight="1" thickTop="1" thickBot="1">
      <c r="A15" s="117"/>
      <c r="B15" s="279"/>
      <c r="C15" s="280"/>
      <c r="D15" s="280"/>
      <c r="E15" s="282"/>
      <c r="F15" s="280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281"/>
      <c r="T15" s="3"/>
      <c r="AR15" s="115"/>
      <c r="AS15" s="115"/>
      <c r="AT15" s="115"/>
      <c r="AU15" s="115"/>
      <c r="AV15" s="115"/>
      <c r="AW15" s="115"/>
      <c r="AX15" s="115"/>
    </row>
    <row r="16" spans="1:50" ht="24.75" customHeight="1" thickTop="1" thickBot="1">
      <c r="A16" s="117"/>
      <c r="B16" s="279"/>
      <c r="C16" s="280"/>
      <c r="D16" s="280"/>
      <c r="E16" s="282"/>
      <c r="F16" s="280"/>
      <c r="G16" s="324"/>
      <c r="H16" s="324"/>
      <c r="I16" s="345" t="s">
        <v>417</v>
      </c>
      <c r="J16" s="346" t="s">
        <v>157</v>
      </c>
      <c r="K16" s="167">
        <f>(VLOOKUP(X10,$AO$29:$AQ$94,3,FALSE)*(1.2))</f>
        <v>7.6115507159177893</v>
      </c>
      <c r="L16" s="343"/>
      <c r="M16" s="347">
        <f>(K16*F11)+(K17*F12)</f>
        <v>62071.904127731454</v>
      </c>
      <c r="N16" s="324"/>
      <c r="O16" s="324"/>
      <c r="P16" s="324"/>
      <c r="Q16" s="324"/>
      <c r="R16" s="324"/>
      <c r="S16" s="281"/>
      <c r="T16" s="3"/>
      <c r="AR16" s="115"/>
      <c r="AS16" s="115"/>
      <c r="AT16" s="115"/>
      <c r="AU16" s="115"/>
      <c r="AV16" s="115"/>
      <c r="AW16" s="115"/>
      <c r="AX16" s="115"/>
    </row>
    <row r="17" spans="1:50" ht="21" thickTop="1" thickBot="1">
      <c r="A17" s="117"/>
      <c r="B17" s="279"/>
      <c r="C17" s="280"/>
      <c r="D17" s="280"/>
      <c r="E17" s="282"/>
      <c r="F17" s="280"/>
      <c r="G17" s="324"/>
      <c r="H17" s="324"/>
      <c r="I17" s="348"/>
      <c r="J17" s="346" t="s">
        <v>158</v>
      </c>
      <c r="K17" s="168">
        <f>(VLOOKUP(X10,$AO$29:$AQ$94,2,FALSE)*(1.2))</f>
        <v>70.501258604743242</v>
      </c>
      <c r="L17" s="343"/>
      <c r="M17" s="347"/>
      <c r="N17" s="324"/>
      <c r="O17" s="324"/>
      <c r="P17" s="324"/>
      <c r="Q17" s="324"/>
      <c r="R17" s="324"/>
      <c r="S17" s="281"/>
      <c r="T17" s="3"/>
      <c r="AR17" s="115"/>
      <c r="AS17" s="115"/>
      <c r="AT17" s="115"/>
      <c r="AU17" s="115"/>
      <c r="AV17" s="115"/>
      <c r="AW17" s="115"/>
      <c r="AX17" s="115"/>
    </row>
    <row r="18" spans="1:50" ht="10.5" customHeight="1" thickTop="1">
      <c r="A18" s="117"/>
      <c r="B18" s="279"/>
      <c r="C18" s="280"/>
      <c r="D18" s="280"/>
      <c r="E18" s="282"/>
      <c r="F18" s="280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281"/>
      <c r="T18" s="3"/>
      <c r="AR18" s="115"/>
      <c r="AS18" s="115"/>
      <c r="AT18" s="115"/>
      <c r="AU18" s="115"/>
      <c r="AV18" s="115"/>
      <c r="AW18" s="115"/>
      <c r="AX18" s="115"/>
    </row>
    <row r="19" spans="1:50" ht="20">
      <c r="A19" s="117"/>
      <c r="B19" s="279"/>
      <c r="C19" s="280"/>
      <c r="D19" s="280"/>
      <c r="E19" s="282"/>
      <c r="F19" s="280"/>
      <c r="G19" s="324"/>
      <c r="H19" s="324"/>
      <c r="I19" s="349" t="s">
        <v>418</v>
      </c>
      <c r="J19" s="350" t="s">
        <v>157</v>
      </c>
      <c r="K19" s="351">
        <f>(VLOOKUP(X11,$AO$29:$AQ$94,3,FALSE)*(1.2))</f>
        <v>7.1123155087959642</v>
      </c>
      <c r="L19" s="343"/>
      <c r="M19" s="352">
        <f>(K19*F11)+(K20*F12)</f>
        <v>70524.401034176029</v>
      </c>
      <c r="N19" s="324"/>
      <c r="O19" s="324"/>
      <c r="P19" s="324"/>
      <c r="Q19" s="324"/>
      <c r="R19" s="324"/>
      <c r="S19" s="281"/>
      <c r="T19" s="3"/>
      <c r="AR19" s="115"/>
      <c r="AS19" s="115"/>
      <c r="AT19" s="115"/>
      <c r="AU19" s="115"/>
      <c r="AV19" s="115"/>
      <c r="AW19" s="115"/>
      <c r="AX19" s="115"/>
    </row>
    <row r="20" spans="1:50" ht="20">
      <c r="A20" s="117"/>
      <c r="B20" s="279"/>
      <c r="C20" s="280"/>
      <c r="D20" s="280"/>
      <c r="E20" s="282"/>
      <c r="F20" s="280"/>
      <c r="G20" s="324"/>
      <c r="H20" s="324"/>
      <c r="I20" s="353"/>
      <c r="J20" s="350" t="s">
        <v>158</v>
      </c>
      <c r="K20" s="354">
        <f>(VLOOKUP(X11,$AO$29:$AQ$94,2,FALSE)*(1.2))</f>
        <v>97.186492550084964</v>
      </c>
      <c r="L20" s="343"/>
      <c r="M20" s="352"/>
      <c r="N20" s="324"/>
      <c r="O20" s="324"/>
      <c r="P20" s="324"/>
      <c r="Q20" s="324"/>
      <c r="R20" s="324"/>
      <c r="S20" s="281"/>
      <c r="T20" s="3"/>
      <c r="AR20" s="115"/>
      <c r="AS20" s="115"/>
      <c r="AT20" s="115"/>
      <c r="AU20" s="115"/>
      <c r="AV20" s="115"/>
      <c r="AW20" s="115"/>
      <c r="AX20" s="115"/>
    </row>
    <row r="21" spans="1:50" ht="10.5" customHeight="1">
      <c r="A21" s="117"/>
      <c r="B21" s="279"/>
      <c r="C21" s="280"/>
      <c r="D21" s="280"/>
      <c r="E21" s="282"/>
      <c r="F21" s="280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281"/>
      <c r="T21" s="3"/>
      <c r="AR21" s="115"/>
      <c r="AS21" s="115"/>
      <c r="AT21" s="115"/>
      <c r="AU21" s="115"/>
      <c r="AV21" s="115"/>
      <c r="AW21" s="115"/>
      <c r="AX21" s="115"/>
    </row>
    <row r="22" spans="1:50" ht="20.25" customHeight="1">
      <c r="A22" s="117"/>
      <c r="B22" s="279"/>
      <c r="C22" s="280"/>
      <c r="D22" s="280"/>
      <c r="E22" s="282"/>
      <c r="F22" s="280"/>
      <c r="G22" s="324"/>
      <c r="H22" s="324"/>
      <c r="I22" s="349" t="s">
        <v>419</v>
      </c>
      <c r="J22" s="350" t="s">
        <v>157</v>
      </c>
      <c r="K22" s="351">
        <f>(VLOOKUP(X12,$AO$29:$AQ$94,3,FALSE)*(1.2))</f>
        <v>11.821868081059275</v>
      </c>
      <c r="L22" s="343"/>
      <c r="M22" s="352">
        <f>(K22*F11)+(K23*F12)</f>
        <v>74397.480986571521</v>
      </c>
      <c r="N22" s="324"/>
      <c r="O22" s="324"/>
      <c r="P22" s="324"/>
      <c r="Q22" s="324"/>
      <c r="R22" s="324"/>
      <c r="S22" s="281"/>
      <c r="T22" s="3"/>
      <c r="AR22" s="115"/>
      <c r="AS22" s="115"/>
      <c r="AT22" s="115"/>
      <c r="AU22" s="115"/>
      <c r="AV22" s="115"/>
      <c r="AW22" s="115"/>
      <c r="AX22" s="115"/>
    </row>
    <row r="23" spans="1:50" ht="20">
      <c r="A23" s="117"/>
      <c r="B23" s="279"/>
      <c r="C23" s="280"/>
      <c r="D23" s="280"/>
      <c r="E23" s="282"/>
      <c r="F23" s="280"/>
      <c r="G23" s="324"/>
      <c r="H23" s="324"/>
      <c r="I23" s="353"/>
      <c r="J23" s="350" t="s">
        <v>158</v>
      </c>
      <c r="K23" s="354">
        <f>(VLOOKUP(X12,$AO$29:$AQ$94,2,FALSE)*(1.2))</f>
        <v>54.475420064644361</v>
      </c>
      <c r="L23" s="343"/>
      <c r="M23" s="352"/>
      <c r="N23" s="324"/>
      <c r="O23" s="324"/>
      <c r="P23" s="324"/>
      <c r="Q23" s="324"/>
      <c r="R23" s="324"/>
      <c r="S23" s="281"/>
      <c r="T23" s="3"/>
      <c r="AR23" s="115"/>
      <c r="AS23" s="115"/>
      <c r="AT23" s="115"/>
      <c r="AU23" s="115"/>
      <c r="AV23" s="115"/>
      <c r="AW23" s="115"/>
      <c r="AX23" s="115"/>
    </row>
    <row r="24" spans="1:50" ht="12" customHeight="1">
      <c r="A24" s="117"/>
      <c r="B24" s="279"/>
      <c r="C24" s="280"/>
      <c r="D24" s="282"/>
      <c r="E24" s="282"/>
      <c r="F24" s="280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281"/>
      <c r="T24" s="3"/>
      <c r="AR24" s="115"/>
      <c r="AS24" s="115"/>
      <c r="AT24" s="115"/>
      <c r="AU24" s="115"/>
      <c r="AV24" s="115"/>
      <c r="AW24" s="115"/>
      <c r="AX24" s="115"/>
    </row>
    <row r="25" spans="1:50" ht="20.25" customHeight="1">
      <c r="A25" s="117"/>
      <c r="B25" s="279"/>
      <c r="C25" s="280"/>
      <c r="D25" s="280"/>
      <c r="E25" s="282"/>
      <c r="F25" s="280"/>
      <c r="G25" s="324"/>
      <c r="H25" s="324"/>
      <c r="I25" s="349" t="s">
        <v>420</v>
      </c>
      <c r="J25" s="350" t="s">
        <v>157</v>
      </c>
      <c r="K25" s="351">
        <f>VLOOKUP(X13,$AO$29:$AQ$94,3,FALSE)*1.2</f>
        <v>10.698996437803673</v>
      </c>
      <c r="L25" s="343"/>
      <c r="M25" s="352">
        <f>(K25*F11)+(K26*F12)</f>
        <v>83454.021049494419</v>
      </c>
      <c r="N25" s="324"/>
      <c r="O25" s="324"/>
      <c r="P25" s="324"/>
      <c r="Q25" s="324"/>
      <c r="R25" s="324"/>
      <c r="S25" s="281"/>
      <c r="T25" s="3"/>
      <c r="AR25" s="115"/>
      <c r="AS25" s="115"/>
      <c r="AT25" s="115"/>
      <c r="AU25" s="115"/>
      <c r="AV25" s="115"/>
      <c r="AW25" s="115"/>
      <c r="AX25" s="115"/>
    </row>
    <row r="26" spans="1:50" ht="20">
      <c r="A26" s="117"/>
      <c r="B26" s="279"/>
      <c r="C26" s="280"/>
      <c r="D26" s="280"/>
      <c r="E26" s="282"/>
      <c r="F26" s="280"/>
      <c r="G26" s="324"/>
      <c r="H26" s="324"/>
      <c r="I26" s="353"/>
      <c r="J26" s="350" t="s">
        <v>158</v>
      </c>
      <c r="K26" s="354">
        <f>VLOOKUP(X13,$AO$29:$AQ$94,2,FALSE)*1.2</f>
        <v>89.608717253170184</v>
      </c>
      <c r="L26" s="343"/>
      <c r="M26" s="352"/>
      <c r="N26" s="324"/>
      <c r="O26" s="324"/>
      <c r="P26" s="324"/>
      <c r="Q26" s="324"/>
      <c r="R26" s="324"/>
      <c r="S26" s="281"/>
      <c r="T26" s="3"/>
      <c r="AR26" s="115"/>
      <c r="AS26" s="115"/>
      <c r="AT26" s="115"/>
      <c r="AU26" s="115"/>
      <c r="AV26" s="115"/>
      <c r="AW26" s="115"/>
      <c r="AX26" s="115"/>
    </row>
    <row r="27" spans="1:50" ht="15" customHeight="1" thickBot="1">
      <c r="A27" s="117"/>
      <c r="B27" s="279"/>
      <c r="C27" s="280"/>
      <c r="D27" s="282"/>
      <c r="E27" s="282"/>
      <c r="F27" s="289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1"/>
      <c r="T27" s="3"/>
      <c r="AR27" s="115"/>
      <c r="AS27" s="115"/>
      <c r="AT27" s="115"/>
      <c r="AU27" s="115"/>
      <c r="AV27" s="115"/>
      <c r="AW27" s="115"/>
      <c r="AX27" s="115"/>
    </row>
    <row r="28" spans="1:50" ht="51.75" customHeight="1" thickTop="1" thickBot="1">
      <c r="A28" s="117"/>
      <c r="B28" s="279"/>
      <c r="C28" s="280"/>
      <c r="D28" s="290" t="s">
        <v>198</v>
      </c>
      <c r="E28" s="291" t="s">
        <v>403</v>
      </c>
      <c r="F28" s="292" t="s">
        <v>404</v>
      </c>
      <c r="G28" s="291" t="s">
        <v>405</v>
      </c>
      <c r="H28" s="293" t="s">
        <v>74</v>
      </c>
      <c r="I28" s="291" t="s">
        <v>406</v>
      </c>
      <c r="J28" s="291" t="s">
        <v>407</v>
      </c>
      <c r="K28" s="294" t="s">
        <v>408</v>
      </c>
      <c r="L28" s="295"/>
      <c r="M28" s="296" t="s">
        <v>409</v>
      </c>
      <c r="N28" s="296" t="s">
        <v>411</v>
      </c>
      <c r="O28" s="297"/>
      <c r="P28" s="298" t="s">
        <v>410</v>
      </c>
      <c r="Q28" s="298" t="s">
        <v>412</v>
      </c>
      <c r="R28" s="299" t="s">
        <v>413</v>
      </c>
      <c r="S28" s="300"/>
      <c r="T28" s="34"/>
      <c r="U28" s="34" t="s">
        <v>75</v>
      </c>
      <c r="V28" s="34" t="s">
        <v>76</v>
      </c>
      <c r="W28" s="34"/>
      <c r="X28" s="34" t="s">
        <v>80</v>
      </c>
      <c r="Y28" s="34" t="s">
        <v>79</v>
      </c>
      <c r="Z28" s="34" t="s">
        <v>78</v>
      </c>
      <c r="AA28" s="34" t="s">
        <v>77</v>
      </c>
      <c r="AB28" s="34" t="s">
        <v>82</v>
      </c>
      <c r="AC28" s="34" t="s">
        <v>81</v>
      </c>
      <c r="AD28" s="34" t="s">
        <v>86</v>
      </c>
      <c r="AE28" s="34" t="s">
        <v>85</v>
      </c>
      <c r="AF28" s="34" t="s">
        <v>97</v>
      </c>
      <c r="AG28" s="34" t="s">
        <v>98</v>
      </c>
      <c r="AH28" s="34"/>
      <c r="AI28" s="34" t="s">
        <v>100</v>
      </c>
      <c r="AJ28" s="34" t="s">
        <v>101</v>
      </c>
      <c r="AK28" s="34" t="s">
        <v>102</v>
      </c>
      <c r="AO28" s="34" t="s">
        <v>73</v>
      </c>
      <c r="AR28" s="115"/>
      <c r="AS28" s="115"/>
      <c r="AT28" s="115"/>
      <c r="AU28" s="115"/>
      <c r="AV28" s="115"/>
      <c r="AW28" s="115"/>
      <c r="AX28" s="115"/>
    </row>
    <row r="29" spans="1:50" ht="15" thickBot="1">
      <c r="A29" s="117"/>
      <c r="B29" s="279"/>
      <c r="C29" s="286">
        <v>1</v>
      </c>
      <c r="D29" s="301" t="s">
        <v>199</v>
      </c>
      <c r="E29" s="94">
        <f>W97</f>
        <v>5.4182414820366018</v>
      </c>
      <c r="F29" s="302">
        <v>3</v>
      </c>
      <c r="G29" s="94">
        <f>IF($F$9=10,F29,F29*($F$9/10)^0.142857)</f>
        <v>3.5097918874330896</v>
      </c>
      <c r="H29" s="314">
        <f>(G29^3)*24/1000</f>
        <v>1.0376606292755366</v>
      </c>
      <c r="I29" s="94">
        <f>H29*$F$10</f>
        <v>0.19715551956235194</v>
      </c>
      <c r="J29" s="94">
        <f>IF('Inclination angle'!$O$12=2,'Inclination angle'!E16*Consumption!$F$34,'Inclination angle'!F16*Consumption!$F$34)/1000</f>
        <v>45.386425246790445</v>
      </c>
      <c r="K29" s="94">
        <f>$K$13*E29</f>
        <v>195.65108507998434</v>
      </c>
      <c r="L29" s="303"/>
      <c r="M29" s="94">
        <f>$K$14*I29</f>
        <v>78.427742826453894</v>
      </c>
      <c r="N29" s="94">
        <f>($K$16*E29)+($K$17*I29)</f>
        <v>55.140932101629048</v>
      </c>
      <c r="O29" s="303"/>
      <c r="P29" s="94">
        <f>($K$19*E29)+($K$20*I29)</f>
        <v>57.697096356245197</v>
      </c>
      <c r="Q29" s="94">
        <f>($K$22*E29)+($K$23*I29)</f>
        <v>74.793865778182138</v>
      </c>
      <c r="R29" s="94">
        <f>($K$25*E29)+($K$26*I29)</f>
        <v>75.636599522834359</v>
      </c>
      <c r="S29" s="304"/>
      <c r="T29" s="155"/>
      <c r="U29" s="37">
        <f>J29/E29</f>
        <v>8.3765969821135862</v>
      </c>
      <c r="V29" s="35">
        <f>J29/I29</f>
        <v>230.20621156100395</v>
      </c>
      <c r="W29" s="44" t="s">
        <v>84</v>
      </c>
      <c r="X29" s="45">
        <f>IF($U$29=0,0,$U$29/$V$29)</f>
        <v>3.6387362987787206E-2</v>
      </c>
      <c r="Y29" s="45">
        <f>IF(V30=0,0,U30/V30)</f>
        <v>3.4089746633486288E-2</v>
      </c>
      <c r="Z29" s="46">
        <f>U30</f>
        <v>8.6878153466879695</v>
      </c>
      <c r="AA29" s="46">
        <f>$U$29</f>
        <v>8.3765969821135862</v>
      </c>
      <c r="AB29" s="46">
        <f>Z29-AA29</f>
        <v>0.31121836457438334</v>
      </c>
      <c r="AC29" s="45">
        <f>Y29-X29</f>
        <v>-2.2976163543009173E-3</v>
      </c>
      <c r="AD29" s="47">
        <f>IF(AC29=0,0,AB29/AC29)</f>
        <v>-135.45271123780628</v>
      </c>
      <c r="AE29" s="48">
        <f>-((X29)*AD29)+AA29</f>
        <v>13.305363953603567</v>
      </c>
      <c r="AF29" s="48">
        <f>IF(OR(AD29&gt;$K$14,AD29&lt;0),0,AD29)</f>
        <v>0</v>
      </c>
      <c r="AG29" s="48">
        <f>IF(OR(AE29&gt;$K$13,AE29&lt;0),0,AE29)</f>
        <v>13.305363953603567</v>
      </c>
      <c r="AH29" t="str">
        <f>IF(AF29&gt;0,AF29,"")</f>
        <v/>
      </c>
      <c r="AI29" s="91">
        <f>MIN(AH29:AH39)</f>
        <v>45.923930419047942</v>
      </c>
      <c r="AJ29" s="80">
        <f>MAX(AG29:AG39)</f>
        <v>32.425071440190251</v>
      </c>
      <c r="AK29" s="35">
        <f>IF(OR(AI29=0,AJ29=0),"",VLOOKUP(AI29,AF29:AG39,2,FALSE))</f>
        <v>6.7055462561298063</v>
      </c>
      <c r="AL29" s="41" t="str">
        <f>IF(AJ29=AK29,"ok","fallo")</f>
        <v>fallo</v>
      </c>
      <c r="AM29" s="92" t="str">
        <f>IF($AL$29="ok",IF(AI29&lt;0.5,0.5,AI29),"")</f>
        <v/>
      </c>
      <c r="AN29" s="35" t="str">
        <f>IF($AL$29="ok",AJ29,"")</f>
        <v/>
      </c>
      <c r="AO29" s="92" t="str">
        <f>IF(AM29="","",(AM29*$F$12)+(AN29*$F$11))</f>
        <v/>
      </c>
      <c r="AP29" s="92" t="str">
        <f>AM29</f>
        <v/>
      </c>
      <c r="AQ29" s="92" t="str">
        <f>AN29</f>
        <v/>
      </c>
      <c r="AR29" s="115"/>
      <c r="AS29" s="115"/>
      <c r="AT29" s="115"/>
      <c r="AU29" s="115"/>
      <c r="AV29" s="115"/>
      <c r="AW29" s="115"/>
      <c r="AX29" s="115"/>
    </row>
    <row r="30" spans="1:50" ht="15" thickTop="1">
      <c r="A30" s="117"/>
      <c r="B30" s="279"/>
      <c r="C30" s="286">
        <v>2</v>
      </c>
      <c r="D30" s="301" t="s">
        <v>200</v>
      </c>
      <c r="E30" s="94">
        <f t="shared" ref="E30:E40" si="0">W98</f>
        <v>5.2241470882657488</v>
      </c>
      <c r="F30" s="302">
        <v>2.9</v>
      </c>
      <c r="G30" s="94">
        <f t="shared" ref="G30:G40" si="1">IF($F$9=10,F30,F30*($F$9/10)^0.142857)</f>
        <v>3.3927988245186533</v>
      </c>
      <c r="H30" s="314">
        <f t="shared" ref="H30:H40" si="2">(G30^3)*24/1000</f>
        <v>0.93731500323707639</v>
      </c>
      <c r="I30" s="94">
        <f t="shared" ref="I30:I40" si="3">H30*$F$10</f>
        <v>0.17808985061504451</v>
      </c>
      <c r="J30" s="94">
        <f>IF('Inclination angle'!$O$12=2,'Inclination angle'!E17*Consumption!$F$34,'Inclination angle'!F17*Consumption!$F$34)/1000</f>
        <v>45.386425246790445</v>
      </c>
      <c r="K30" s="94">
        <f t="shared" ref="K30:K40" si="4">$K$13*E30</f>
        <v>188.64239436822683</v>
      </c>
      <c r="L30" s="297"/>
      <c r="M30" s="94">
        <f t="shared" ref="M30:M40" si="5">$K$14*I30</f>
        <v>70.843489622014218</v>
      </c>
      <c r="N30" s="94">
        <f t="shared" ref="N30:N40" si="6">($K$16*E30)+($K$17*I30)</f>
        <v>52.319419122840344</v>
      </c>
      <c r="O30" s="297"/>
      <c r="P30" s="94">
        <f t="shared" ref="P30:P40" si="7">($K$19*E30)+($K$20*I30)</f>
        <v>54.463710296148534</v>
      </c>
      <c r="Q30" s="94">
        <f t="shared" ref="Q30:Q40" si="8">($K$22*E30)+($K$23*I30)</f>
        <v>71.460697135031921</v>
      </c>
      <c r="R30" s="94">
        <f t="shared" ref="R30:R40" si="9">($K$25*E30)+($K$26*I30)</f>
        <v>71.851534157340524</v>
      </c>
      <c r="S30" s="304"/>
      <c r="T30" s="155"/>
      <c r="U30" s="37">
        <f t="shared" ref="U30:U40" si="10">J30/E30</f>
        <v>8.6878153466879695</v>
      </c>
      <c r="V30" s="35">
        <f t="shared" ref="V30:V40" si="11">J30/I30</f>
        <v>254.85127361298564</v>
      </c>
      <c r="W30" s="44" t="s">
        <v>87</v>
      </c>
      <c r="X30" s="45">
        <f t="shared" ref="X30:X39" si="12">IF($U$29=0,0,$U$29/$V$29)</f>
        <v>3.6387362987787206E-2</v>
      </c>
      <c r="Y30" s="45">
        <f t="shared" ref="Y30:Y39" si="13">IF(V31=0,0,U31/V31)</f>
        <v>4.7034219715532254E-2</v>
      </c>
      <c r="Z30" s="46">
        <f>U31</f>
        <v>11.986730797896394</v>
      </c>
      <c r="AA30" s="46">
        <f>$U$29</f>
        <v>8.3765969821135862</v>
      </c>
      <c r="AB30" s="46">
        <f>Z30-AA30</f>
        <v>3.6101338157828078</v>
      </c>
      <c r="AC30" s="45">
        <f>Y30-X30</f>
        <v>1.0646856727745048E-2</v>
      </c>
      <c r="AD30" s="47">
        <f t="shared" ref="AD30:AD39" si="14">IF(AC30=0,0,AB30/AC30)</f>
        <v>339.07977801326314</v>
      </c>
      <c r="AE30" s="48">
        <f>-((X30)*AD30)+AA30</f>
        <v>-3.9616219822733267</v>
      </c>
      <c r="AF30" s="48">
        <f t="shared" ref="AF30:AF41" si="15">IF(OR(AD30&gt;$K$14,AD30&lt;0),0,AD30)</f>
        <v>339.07977801326314</v>
      </c>
      <c r="AG30" s="48">
        <f t="shared" ref="AG30:AG41" si="16">IF(OR(AE30&gt;$K$13,AE30&lt;0),0,AE30)</f>
        <v>0</v>
      </c>
      <c r="AH30">
        <f t="shared" ref="AH30:AH38" si="17">IF(AF30&gt;0,AF30,"")</f>
        <v>339.07977801326314</v>
      </c>
      <c r="AK30" s="35"/>
      <c r="AR30" s="115"/>
      <c r="AS30" s="115"/>
      <c r="AT30" s="115"/>
      <c r="AU30" s="115"/>
      <c r="AV30" s="115"/>
      <c r="AW30" s="115"/>
      <c r="AX30" s="115"/>
    </row>
    <row r="31" spans="1:50" ht="15" thickBot="1">
      <c r="A31" s="117"/>
      <c r="B31" s="279"/>
      <c r="C31" s="286">
        <v>3</v>
      </c>
      <c r="D31" s="301" t="s">
        <v>201</v>
      </c>
      <c r="E31" s="94">
        <f t="shared" si="0"/>
        <v>3.7863889672700011</v>
      </c>
      <c r="F31" s="302">
        <v>2.9</v>
      </c>
      <c r="G31" s="94">
        <f t="shared" si="1"/>
        <v>3.3927988245186533</v>
      </c>
      <c r="H31" s="314">
        <f t="shared" si="2"/>
        <v>0.93731500323707639</v>
      </c>
      <c r="I31" s="94">
        <f t="shared" si="3"/>
        <v>0.17808985061504451</v>
      </c>
      <c r="J31" s="94">
        <f>IF('Inclination angle'!$O$12=2,'Inclination angle'!E18*Consumption!$F$34,'Inclination angle'!F18*Consumption!$F$34)/1000</f>
        <v>45.386425246790445</v>
      </c>
      <c r="K31" s="94">
        <f t="shared" si="4"/>
        <v>136.72537712416647</v>
      </c>
      <c r="L31" s="303"/>
      <c r="M31" s="94">
        <f t="shared" si="5"/>
        <v>70.843489622014218</v>
      </c>
      <c r="N31" s="94">
        <f t="shared" si="6"/>
        <v>41.375850267658542</v>
      </c>
      <c r="O31" s="303"/>
      <c r="P31" s="94">
        <f t="shared" si="7"/>
        <v>44.237920914293127</v>
      </c>
      <c r="Q31" s="94">
        <f t="shared" si="8"/>
        <v>54.463710296148534</v>
      </c>
      <c r="R31" s="94">
        <f t="shared" si="9"/>
        <v>56.468965142383709</v>
      </c>
      <c r="S31" s="304"/>
      <c r="T31" s="155"/>
      <c r="U31" s="37">
        <f t="shared" si="10"/>
        <v>11.986730797896394</v>
      </c>
      <c r="V31" s="35">
        <f t="shared" si="11"/>
        <v>254.85127361298564</v>
      </c>
      <c r="W31" s="44" t="s">
        <v>88</v>
      </c>
      <c r="X31" s="45">
        <f t="shared" si="12"/>
        <v>3.6387362987787206E-2</v>
      </c>
      <c r="Y31" s="45">
        <f t="shared" si="13"/>
        <v>0.14990426029640458</v>
      </c>
      <c r="Z31" s="46">
        <f>U32</f>
        <v>18.394568539111756</v>
      </c>
      <c r="AA31" s="46">
        <f>$U$29</f>
        <v>8.3765969821135862</v>
      </c>
      <c r="AB31" s="46">
        <f>Z31-AA31</f>
        <v>10.01797155699817</v>
      </c>
      <c r="AC31" s="45">
        <f>Y31-X31</f>
        <v>0.11351689730861737</v>
      </c>
      <c r="AD31" s="47">
        <f t="shared" si="14"/>
        <v>88.250928227560692</v>
      </c>
      <c r="AE31" s="48">
        <f>-((X31)*AD31)+AA31</f>
        <v>5.1653784226881791</v>
      </c>
      <c r="AF31" s="48">
        <f t="shared" si="15"/>
        <v>88.250928227560692</v>
      </c>
      <c r="AG31" s="48">
        <f t="shared" si="16"/>
        <v>5.1653784226881791</v>
      </c>
      <c r="AH31">
        <f t="shared" si="17"/>
        <v>88.250928227560692</v>
      </c>
      <c r="AK31" s="35"/>
      <c r="AR31" s="115"/>
      <c r="AS31" s="115"/>
      <c r="AT31" s="115"/>
      <c r="AU31" s="115"/>
      <c r="AV31" s="115"/>
      <c r="AW31" s="115"/>
      <c r="AX31" s="115"/>
    </row>
    <row r="32" spans="1:50" ht="15" thickTop="1">
      <c r="A32" s="117"/>
      <c r="B32" s="279"/>
      <c r="C32" s="286">
        <v>4</v>
      </c>
      <c r="D32" s="301" t="s">
        <v>202</v>
      </c>
      <c r="E32" s="94">
        <f t="shared" si="0"/>
        <v>2.4673818877722957</v>
      </c>
      <c r="F32" s="302">
        <v>3.7</v>
      </c>
      <c r="G32" s="94">
        <f t="shared" si="1"/>
        <v>4.3287433278341441</v>
      </c>
      <c r="H32" s="314">
        <f t="shared" si="2"/>
        <v>1.946689772396065</v>
      </c>
      <c r="I32" s="94">
        <f t="shared" si="3"/>
        <v>0.36987105675525234</v>
      </c>
      <c r="J32" s="94">
        <f>IF('Inclination angle'!$O$12=2,'Inclination angle'!E19*Consumption!$F$34,'Inclination angle'!F19*Consumption!$F$34)/1000</f>
        <v>45.386425246790445</v>
      </c>
      <c r="K32" s="94">
        <f t="shared" si="4"/>
        <v>89.096424596397995</v>
      </c>
      <c r="L32" s="305"/>
      <c r="M32" s="94">
        <f t="shared" si="5"/>
        <v>147.13335027364329</v>
      </c>
      <c r="N32" s="94">
        <f t="shared" si="6"/>
        <v>44.856977397027514</v>
      </c>
      <c r="O32" s="305"/>
      <c r="P32" s="94">
        <f t="shared" si="7"/>
        <v>53.495269168361546</v>
      </c>
      <c r="Q32" s="94">
        <f t="shared" si="8"/>
        <v>49.317944369335365</v>
      </c>
      <c r="R32" s="94">
        <f t="shared" si="9"/>
        <v>59.542180972889767</v>
      </c>
      <c r="S32" s="304"/>
      <c r="T32" s="155"/>
      <c r="U32" s="37">
        <f t="shared" si="10"/>
        <v>18.394568539111756</v>
      </c>
      <c r="V32" s="35">
        <f t="shared" si="11"/>
        <v>122.70877760738962</v>
      </c>
      <c r="W32" s="44" t="s">
        <v>89</v>
      </c>
      <c r="X32" s="45">
        <f t="shared" si="12"/>
        <v>3.6387362987787206E-2</v>
      </c>
      <c r="Y32" s="45">
        <f t="shared" si="13"/>
        <v>0.15333544790357864</v>
      </c>
      <c r="Z32" s="46">
        <f>U33</f>
        <v>29.085292331454411</v>
      </c>
      <c r="AA32" s="46">
        <f>$U$29</f>
        <v>8.3765969821135862</v>
      </c>
      <c r="AB32" s="46">
        <f>Z32-AA32</f>
        <v>20.708695349340825</v>
      </c>
      <c r="AC32" s="45">
        <f>Y32-X32</f>
        <v>0.11694808491579144</v>
      </c>
      <c r="AD32" s="47">
        <f t="shared" si="14"/>
        <v>177.07596806097456</v>
      </c>
      <c r="AE32" s="48">
        <f>-((X32)*AD32)+AA32</f>
        <v>1.9332694558650907</v>
      </c>
      <c r="AF32" s="48">
        <f t="shared" si="15"/>
        <v>177.07596806097456</v>
      </c>
      <c r="AG32" s="48">
        <f t="shared" si="16"/>
        <v>1.9332694558650907</v>
      </c>
      <c r="AH32">
        <f t="shared" si="17"/>
        <v>177.07596806097456</v>
      </c>
      <c r="AK32" s="35"/>
      <c r="AR32" s="115"/>
      <c r="AS32" s="115"/>
      <c r="AT32" s="115"/>
      <c r="AU32" s="115"/>
      <c r="AV32" s="115"/>
      <c r="AW32" s="115"/>
      <c r="AX32" s="115"/>
    </row>
    <row r="33" spans="1:50" ht="15" thickBot="1">
      <c r="A33" s="117"/>
      <c r="B33" s="279"/>
      <c r="C33" s="286">
        <v>5</v>
      </c>
      <c r="D33" s="301" t="s">
        <v>203</v>
      </c>
      <c r="E33" s="94">
        <f t="shared" si="0"/>
        <v>1.5604596553326406</v>
      </c>
      <c r="F33" s="302">
        <v>3.2</v>
      </c>
      <c r="G33" s="94">
        <f t="shared" si="1"/>
        <v>3.7437780132619625</v>
      </c>
      <c r="H33" s="314">
        <f t="shared" si="2"/>
        <v>1.2593356851889179</v>
      </c>
      <c r="I33" s="94">
        <f t="shared" si="3"/>
        <v>0.2392737801858944</v>
      </c>
      <c r="J33" s="94">
        <f>IF('Inclination angle'!$O$12=2,'Inclination angle'!E20*Consumption!$F$34,'Inclination angle'!F20*Consumption!$F$34)/1000</f>
        <v>45.386425246790445</v>
      </c>
      <c r="K33" s="94">
        <f t="shared" si="4"/>
        <v>56.347733079370173</v>
      </c>
      <c r="L33" s="306"/>
      <c r="M33" s="94">
        <f t="shared" si="5"/>
        <v>95.182232479157079</v>
      </c>
      <c r="N33" s="94">
        <f t="shared" si="6"/>
        <v>28.74662046092822</v>
      </c>
      <c r="O33" s="306"/>
      <c r="P33" s="94">
        <f t="shared" si="7"/>
        <v>34.352660862939835</v>
      </c>
      <c r="Q33" s="94">
        <f t="shared" si="8"/>
        <v>31.482087877239678</v>
      </c>
      <c r="R33" s="94">
        <f t="shared" si="9"/>
        <v>38.136368808515272</v>
      </c>
      <c r="S33" s="304"/>
      <c r="T33" s="155"/>
      <c r="U33" s="37">
        <f t="shared" si="10"/>
        <v>29.085292331454411</v>
      </c>
      <c r="V33" s="35">
        <f t="shared" si="11"/>
        <v>189.68407324667683</v>
      </c>
      <c r="W33" s="44" t="s">
        <v>90</v>
      </c>
      <c r="X33" s="45">
        <f t="shared" si="12"/>
        <v>3.6387362987787206E-2</v>
      </c>
      <c r="Y33" s="45">
        <f t="shared" si="13"/>
        <v>0.22833887292075836</v>
      </c>
      <c r="Z33" s="46">
        <f t="shared" ref="Z33:Z39" si="18">U34</f>
        <v>36.109701963014622</v>
      </c>
      <c r="AA33" s="46">
        <f t="shared" ref="AA33:AA39" si="19">$U$29</f>
        <v>8.3765969821135862</v>
      </c>
      <c r="AB33" s="46">
        <f t="shared" ref="AB33:AB39" si="20">Z33-AA33</f>
        <v>27.733104980901036</v>
      </c>
      <c r="AC33" s="45">
        <f t="shared" ref="AC33:AC39" si="21">Y33-X33</f>
        <v>0.19195150993297116</v>
      </c>
      <c r="AD33" s="47">
        <f t="shared" si="14"/>
        <v>144.47974381959978</v>
      </c>
      <c r="AE33" s="48">
        <f t="shared" ref="AE33:AE38" si="22">-((X33)*AD33)+AA33</f>
        <v>3.1193600993673041</v>
      </c>
      <c r="AF33" s="48">
        <f t="shared" si="15"/>
        <v>144.47974381959978</v>
      </c>
      <c r="AG33" s="48">
        <f t="shared" si="16"/>
        <v>3.1193600993673041</v>
      </c>
      <c r="AH33">
        <f t="shared" si="17"/>
        <v>144.47974381959978</v>
      </c>
      <c r="AK33" s="35"/>
      <c r="AR33" s="115"/>
      <c r="AS33" s="115"/>
      <c r="AT33" s="115"/>
      <c r="AU33" s="115"/>
      <c r="AV33" s="115"/>
      <c r="AW33" s="115"/>
      <c r="AX33" s="115"/>
    </row>
    <row r="34" spans="1:50" ht="15" thickTop="1">
      <c r="A34" s="117"/>
      <c r="B34" s="279"/>
      <c r="C34" s="286">
        <v>6</v>
      </c>
      <c r="D34" s="301" t="s">
        <v>204</v>
      </c>
      <c r="E34" s="94">
        <f t="shared" si="0"/>
        <v>1.256903900599277</v>
      </c>
      <c r="F34" s="302">
        <v>3.4</v>
      </c>
      <c r="G34" s="94">
        <f t="shared" si="1"/>
        <v>3.9777641390908349</v>
      </c>
      <c r="H34" s="314">
        <f t="shared" si="2"/>
        <v>1.5105264212239145</v>
      </c>
      <c r="I34" s="94">
        <f t="shared" si="3"/>
        <v>0.28700002003254377</v>
      </c>
      <c r="J34" s="94">
        <f>IF('Inclination angle'!$O$12=2,'Inclination angle'!E21*Consumption!$F$34,'Inclination angle'!F21*Consumption!$F$34)/1000</f>
        <v>45.386425246790445</v>
      </c>
      <c r="K34" s="94">
        <f t="shared" si="4"/>
        <v>45.386425246790452</v>
      </c>
      <c r="L34" s="305"/>
      <c r="M34" s="94">
        <f t="shared" si="5"/>
        <v>114.16755570559052</v>
      </c>
      <c r="N34" s="94">
        <f t="shared" si="6"/>
        <v>29.800850416327151</v>
      </c>
      <c r="O34" s="305"/>
      <c r="P34" s="94">
        <f t="shared" si="7"/>
        <v>36.832022414065435</v>
      </c>
      <c r="Q34" s="94">
        <f t="shared" si="8"/>
        <v>30.493398753287661</v>
      </c>
      <c r="R34" s="94">
        <f t="shared" si="9"/>
        <v>39.165314001923605</v>
      </c>
      <c r="S34" s="304"/>
      <c r="T34" s="155"/>
      <c r="U34" s="37">
        <f t="shared" si="10"/>
        <v>36.109701963014622</v>
      </c>
      <c r="V34" s="35">
        <f t="shared" si="11"/>
        <v>158.14084348023371</v>
      </c>
      <c r="W34" s="44" t="s">
        <v>91</v>
      </c>
      <c r="X34" s="45">
        <f t="shared" si="12"/>
        <v>3.6387362987787206E-2</v>
      </c>
      <c r="Y34" s="45">
        <f t="shared" si="13"/>
        <v>0.18446179975112237</v>
      </c>
      <c r="Z34" s="46">
        <f t="shared" si="18"/>
        <v>31.904021110766656</v>
      </c>
      <c r="AA34" s="46">
        <f t="shared" si="19"/>
        <v>8.3765969821135862</v>
      </c>
      <c r="AB34" s="46">
        <f t="shared" si="20"/>
        <v>23.52742412865307</v>
      </c>
      <c r="AC34" s="45">
        <f t="shared" si="21"/>
        <v>0.14807443676333515</v>
      </c>
      <c r="AD34" s="47">
        <f t="shared" si="14"/>
        <v>158.88916846772514</v>
      </c>
      <c r="AE34" s="48">
        <f t="shared" si="22"/>
        <v>2.5950391342507988</v>
      </c>
      <c r="AF34" s="48">
        <f t="shared" si="15"/>
        <v>158.88916846772514</v>
      </c>
      <c r="AG34" s="48">
        <f t="shared" si="16"/>
        <v>2.5950391342507988</v>
      </c>
      <c r="AH34">
        <f t="shared" si="17"/>
        <v>158.88916846772514</v>
      </c>
      <c r="AK34" s="35"/>
      <c r="AR34" s="115"/>
      <c r="AS34" s="115"/>
      <c r="AT34" s="115"/>
      <c r="AU34" s="115"/>
      <c r="AV34" s="115"/>
      <c r="AW34" s="115"/>
      <c r="AX34" s="115"/>
    </row>
    <row r="35" spans="1:50" ht="15" thickBot="1">
      <c r="A35" s="117"/>
      <c r="B35" s="279"/>
      <c r="C35" s="286">
        <v>7</v>
      </c>
      <c r="D35" s="301" t="s">
        <v>205</v>
      </c>
      <c r="E35" s="94">
        <f t="shared" si="0"/>
        <v>1.4225926283465842</v>
      </c>
      <c r="F35" s="302">
        <v>3.3</v>
      </c>
      <c r="G35" s="94">
        <f t="shared" si="1"/>
        <v>3.8607710761763983</v>
      </c>
      <c r="H35" s="314">
        <f t="shared" si="2"/>
        <v>1.381126297565739</v>
      </c>
      <c r="I35" s="94">
        <f t="shared" si="3"/>
        <v>0.26241399653749042</v>
      </c>
      <c r="J35" s="94">
        <f>IF('Inclination angle'!$O$12=2,'Inclination angle'!E22*Consumption!$F$34,'Inclination angle'!F22*Consumption!$F$34)/1000</f>
        <v>45.386425246790445</v>
      </c>
      <c r="K35" s="94">
        <f t="shared" si="4"/>
        <v>51.369395824376781</v>
      </c>
      <c r="L35" s="306"/>
      <c r="M35" s="94">
        <f t="shared" si="5"/>
        <v>104.38732570201012</v>
      </c>
      <c r="N35" s="94">
        <f t="shared" si="6"/>
        <v>29.328652970144621</v>
      </c>
      <c r="O35" s="306"/>
      <c r="P35" s="94">
        <f t="shared" si="7"/>
        <v>35.621023532817063</v>
      </c>
      <c r="Q35" s="94">
        <f t="shared" si="8"/>
        <v>31.112815077622628</v>
      </c>
      <c r="R35" s="94">
        <f t="shared" si="9"/>
        <v>38.734895082128233</v>
      </c>
      <c r="S35" s="304"/>
      <c r="T35" s="155"/>
      <c r="U35" s="37">
        <f t="shared" si="10"/>
        <v>31.904021110766656</v>
      </c>
      <c r="V35" s="35">
        <f t="shared" si="11"/>
        <v>172.95733400526217</v>
      </c>
      <c r="W35" s="44" t="s">
        <v>92</v>
      </c>
      <c r="X35" s="45">
        <f t="shared" si="12"/>
        <v>3.6387362987787206E-2</v>
      </c>
      <c r="Y35" s="45">
        <f t="shared" si="13"/>
        <v>9.2962143042476256E-2</v>
      </c>
      <c r="Z35" s="46">
        <f t="shared" si="18"/>
        <v>21.400462768400601</v>
      </c>
      <c r="AA35" s="46">
        <f t="shared" si="19"/>
        <v>8.3765969821135862</v>
      </c>
      <c r="AB35" s="46">
        <f t="shared" si="20"/>
        <v>13.023865786287015</v>
      </c>
      <c r="AC35" s="45">
        <f t="shared" si="21"/>
        <v>5.657478005468905E-2</v>
      </c>
      <c r="AD35" s="47">
        <f t="shared" si="14"/>
        <v>230.20621156100395</v>
      </c>
      <c r="AE35" s="48">
        <f t="shared" si="22"/>
        <v>0</v>
      </c>
      <c r="AF35" s="48">
        <f t="shared" si="15"/>
        <v>230.20621156100395</v>
      </c>
      <c r="AG35" s="48">
        <f t="shared" si="16"/>
        <v>0</v>
      </c>
      <c r="AH35">
        <f t="shared" si="17"/>
        <v>230.20621156100395</v>
      </c>
      <c r="AK35" s="35"/>
      <c r="AR35" s="115"/>
      <c r="AS35" s="115"/>
      <c r="AT35" s="115"/>
      <c r="AU35" s="115"/>
      <c r="AV35" s="115"/>
      <c r="AW35" s="115"/>
      <c r="AX35" s="115"/>
    </row>
    <row r="36" spans="1:50" ht="15" thickTop="1">
      <c r="A36" s="117"/>
      <c r="B36" s="279"/>
      <c r="C36" s="286">
        <v>8</v>
      </c>
      <c r="D36" s="301" t="s">
        <v>206</v>
      </c>
      <c r="E36" s="94">
        <f t="shared" si="0"/>
        <v>2.1208151308674936</v>
      </c>
      <c r="F36" s="302">
        <v>3</v>
      </c>
      <c r="G36" s="94">
        <f t="shared" si="1"/>
        <v>3.5097918874330896</v>
      </c>
      <c r="H36" s="314">
        <f t="shared" si="2"/>
        <v>1.0376606292755366</v>
      </c>
      <c r="I36" s="94">
        <f t="shared" si="3"/>
        <v>0.19715551956235194</v>
      </c>
      <c r="J36" s="94">
        <f>IF('Inclination angle'!$O$12=2,'Inclination angle'!E23*Consumption!$F$34,'Inclination angle'!F23*Consumption!$F$34)/1000</f>
        <v>45.386425246790445</v>
      </c>
      <c r="K36" s="94">
        <f t="shared" si="4"/>
        <v>76.582002294277046</v>
      </c>
      <c r="L36" s="305"/>
      <c r="M36" s="94">
        <f t="shared" si="5"/>
        <v>78.427742826453894</v>
      </c>
      <c r="N36" s="94">
        <f t="shared" si="6"/>
        <v>30.042404197701639</v>
      </c>
      <c r="O36" s="305"/>
      <c r="P36" s="94">
        <f t="shared" si="7"/>
        <v>34.244759779712666</v>
      </c>
      <c r="Q36" s="94">
        <f t="shared" si="8"/>
        <v>35.812126447652304</v>
      </c>
      <c r="R36" s="94">
        <f t="shared" si="9"/>
        <v>40.357446737756106</v>
      </c>
      <c r="S36" s="304"/>
      <c r="T36" s="155"/>
      <c r="U36" s="37">
        <f t="shared" si="10"/>
        <v>21.400462768400601</v>
      </c>
      <c r="V36" s="35">
        <f t="shared" si="11"/>
        <v>230.20621156100395</v>
      </c>
      <c r="W36" s="44" t="s">
        <v>93</v>
      </c>
      <c r="X36" s="45">
        <f t="shared" si="12"/>
        <v>3.6387362987787206E-2</v>
      </c>
      <c r="Y36" s="45">
        <f t="shared" si="13"/>
        <v>6.6553342184203626E-2</v>
      </c>
      <c r="Z36" s="46">
        <f t="shared" si="18"/>
        <v>13.885630049867883</v>
      </c>
      <c r="AA36" s="46">
        <f t="shared" si="19"/>
        <v>8.3765969821135862</v>
      </c>
      <c r="AB36" s="46">
        <f t="shared" si="20"/>
        <v>5.5090330677542969</v>
      </c>
      <c r="AC36" s="45">
        <f t="shared" si="21"/>
        <v>3.016597919641642E-2</v>
      </c>
      <c r="AD36" s="47">
        <f t="shared" si="14"/>
        <v>182.62404253095636</v>
      </c>
      <c r="AE36" s="48">
        <f t="shared" si="22"/>
        <v>1.7313896562425883</v>
      </c>
      <c r="AF36" s="48">
        <f t="shared" si="15"/>
        <v>182.62404253095636</v>
      </c>
      <c r="AG36" s="48">
        <f t="shared" si="16"/>
        <v>1.7313896562425883</v>
      </c>
      <c r="AH36">
        <f t="shared" si="17"/>
        <v>182.62404253095636</v>
      </c>
      <c r="AK36" s="35"/>
      <c r="AR36" s="115"/>
      <c r="AS36" s="115"/>
      <c r="AT36" s="115"/>
      <c r="AU36" s="115"/>
      <c r="AV36" s="115"/>
      <c r="AW36" s="115"/>
      <c r="AX36" s="115"/>
    </row>
    <row r="37" spans="1:50" ht="15" thickBot="1">
      <c r="A37" s="117"/>
      <c r="B37" s="279"/>
      <c r="C37" s="286">
        <v>9</v>
      </c>
      <c r="D37" s="301" t="s">
        <v>207</v>
      </c>
      <c r="E37" s="94">
        <f t="shared" si="0"/>
        <v>3.2685895478845977</v>
      </c>
      <c r="F37" s="302">
        <v>3.1</v>
      </c>
      <c r="G37" s="94">
        <f t="shared" si="1"/>
        <v>3.6267849503475258</v>
      </c>
      <c r="H37" s="314">
        <f t="shared" si="2"/>
        <v>1.1449239928425001</v>
      </c>
      <c r="I37" s="94">
        <f t="shared" si="3"/>
        <v>0.21753555864007504</v>
      </c>
      <c r="J37" s="94">
        <f>IF('Inclination angle'!$O$12=2,'Inclination angle'!E24*Consumption!$F$34,'Inclination angle'!F24*Consumption!$F$34)/1000</f>
        <v>45.386425246790445</v>
      </c>
      <c r="K37" s="94">
        <f t="shared" si="4"/>
        <v>118.02779441353753</v>
      </c>
      <c r="L37" s="306"/>
      <c r="M37" s="94">
        <f t="shared" si="5"/>
        <v>86.534847649736577</v>
      </c>
      <c r="N37" s="94">
        <f t="shared" si="6"/>
        <v>40.215565788653635</v>
      </c>
      <c r="O37" s="306"/>
      <c r="P37" s="94">
        <f t="shared" si="7"/>
        <v>44.388758082460235</v>
      </c>
      <c r="Q37" s="94">
        <f t="shared" si="8"/>
        <v>50.491175382136056</v>
      </c>
      <c r="R37" s="94">
        <f t="shared" si="9"/>
        <v>54.463710296148534</v>
      </c>
      <c r="S37" s="304"/>
      <c r="T37" s="155"/>
      <c r="U37" s="37">
        <f t="shared" si="10"/>
        <v>13.885630049867883</v>
      </c>
      <c r="V37" s="35">
        <f t="shared" si="11"/>
        <v>208.63910953466171</v>
      </c>
      <c r="W37" s="44" t="s">
        <v>94</v>
      </c>
      <c r="X37" s="45">
        <f t="shared" si="12"/>
        <v>3.6387362987787206E-2</v>
      </c>
      <c r="Y37" s="45">
        <f t="shared" si="13"/>
        <v>3.1960326331748938E-2</v>
      </c>
      <c r="Z37" s="46">
        <f t="shared" si="18"/>
        <v>11.302433569487011</v>
      </c>
      <c r="AA37" s="46">
        <f t="shared" si="19"/>
        <v>8.3765969821135862</v>
      </c>
      <c r="AB37" s="46">
        <f t="shared" si="20"/>
        <v>2.9258365873734249</v>
      </c>
      <c r="AC37" s="45">
        <f t="shared" si="21"/>
        <v>-4.4270366560382676E-3</v>
      </c>
      <c r="AD37" s="47">
        <f t="shared" si="14"/>
        <v>-660.90182094668739</v>
      </c>
      <c r="AE37" s="48">
        <f t="shared" si="22"/>
        <v>32.425071440190251</v>
      </c>
      <c r="AF37" s="48">
        <f t="shared" si="15"/>
        <v>0</v>
      </c>
      <c r="AG37" s="48">
        <f t="shared" si="16"/>
        <v>32.425071440190251</v>
      </c>
      <c r="AH37" t="str">
        <f t="shared" si="17"/>
        <v/>
      </c>
      <c r="AK37" s="35"/>
      <c r="AR37" s="115"/>
      <c r="AS37" s="115"/>
      <c r="AT37" s="115"/>
      <c r="AU37" s="115"/>
      <c r="AV37" s="115"/>
      <c r="AW37" s="115"/>
      <c r="AX37" s="115"/>
    </row>
    <row r="38" spans="1:50" ht="15" thickTop="1">
      <c r="A38" s="117"/>
      <c r="B38" s="279"/>
      <c r="C38" s="286">
        <v>10</v>
      </c>
      <c r="D38" s="301" t="s">
        <v>402</v>
      </c>
      <c r="E38" s="94">
        <f t="shared" si="0"/>
        <v>4.0156330021986957</v>
      </c>
      <c r="F38" s="302">
        <v>2.6</v>
      </c>
      <c r="G38" s="94">
        <f t="shared" si="1"/>
        <v>3.0418196357753442</v>
      </c>
      <c r="H38" s="314">
        <f t="shared" si="2"/>
        <v>0.67547863778321582</v>
      </c>
      <c r="I38" s="94">
        <f t="shared" si="3"/>
        <v>0.12834094117881101</v>
      </c>
      <c r="J38" s="94">
        <f>IF('Inclination angle'!$O$12=2,'Inclination angle'!E25*Consumption!$F$34,'Inclination angle'!F25*Consumption!$F$34)/1000</f>
        <v>45.386425246790445</v>
      </c>
      <c r="K38" s="94">
        <f t="shared" si="4"/>
        <v>145.00331090224054</v>
      </c>
      <c r="L38" s="305"/>
      <c r="M38" s="94">
        <f t="shared" si="5"/>
        <v>51.053555848805679</v>
      </c>
      <c r="N38" s="94">
        <f t="shared" si="6"/>
        <v>39.613392136372077</v>
      </c>
      <c r="O38" s="305"/>
      <c r="P38" s="94">
        <f t="shared" si="7"/>
        <v>41.03345480291609</v>
      </c>
      <c r="Q38" s="94">
        <f t="shared" si="8"/>
        <v>54.463710296148534</v>
      </c>
      <c r="R38" s="94">
        <f t="shared" si="9"/>
        <v>54.463710296148541</v>
      </c>
      <c r="S38" s="304"/>
      <c r="T38" s="155"/>
      <c r="U38" s="37">
        <f t="shared" si="10"/>
        <v>11.302433569487011</v>
      </c>
      <c r="V38" s="35">
        <f t="shared" si="11"/>
        <v>353.63949204296244</v>
      </c>
      <c r="W38" s="44" t="s">
        <v>95</v>
      </c>
      <c r="X38" s="45">
        <f t="shared" si="12"/>
        <v>3.6387362987787206E-2</v>
      </c>
      <c r="Y38" s="45">
        <f t="shared" si="13"/>
        <v>2.8267247122531796E-2</v>
      </c>
      <c r="Z38" s="46">
        <f t="shared" si="18"/>
        <v>8.0036893461229894</v>
      </c>
      <c r="AA38" s="46">
        <f t="shared" si="19"/>
        <v>8.3765969821135862</v>
      </c>
      <c r="AB38" s="46">
        <f t="shared" si="20"/>
        <v>-0.37290763599059673</v>
      </c>
      <c r="AC38" s="45">
        <f t="shared" si="21"/>
        <v>-8.1201158652554097E-3</v>
      </c>
      <c r="AD38" s="47">
        <f t="shared" si="14"/>
        <v>45.923930419047942</v>
      </c>
      <c r="AE38" s="48">
        <f t="shared" si="22"/>
        <v>6.7055462561298063</v>
      </c>
      <c r="AF38" s="48">
        <f t="shared" si="15"/>
        <v>45.923930419047942</v>
      </c>
      <c r="AG38" s="48">
        <f t="shared" si="16"/>
        <v>6.7055462561298063</v>
      </c>
      <c r="AH38">
        <f t="shared" si="17"/>
        <v>45.923930419047942</v>
      </c>
      <c r="AK38" s="35"/>
      <c r="AR38" s="115"/>
      <c r="AS38" s="115"/>
      <c r="AT38" s="115"/>
      <c r="AU38" s="115"/>
      <c r="AV38" s="115"/>
      <c r="AW38" s="115"/>
      <c r="AX38" s="115"/>
    </row>
    <row r="39" spans="1:50" ht="15" thickBot="1">
      <c r="A39" s="117"/>
      <c r="B39" s="279"/>
      <c r="C39" s="286">
        <v>11</v>
      </c>
      <c r="D39" s="301" t="s">
        <v>209</v>
      </c>
      <c r="E39" s="94">
        <f t="shared" si="0"/>
        <v>5.6706880144936864</v>
      </c>
      <c r="F39" s="302">
        <v>2.8</v>
      </c>
      <c r="G39" s="94">
        <f t="shared" si="1"/>
        <v>3.2758057616042167</v>
      </c>
      <c r="H39" s="314">
        <f t="shared" si="2"/>
        <v>0.84365652347616948</v>
      </c>
      <c r="I39" s="94">
        <f t="shared" si="3"/>
        <v>0.16029473946047221</v>
      </c>
      <c r="J39" s="94">
        <f>IF('Inclination angle'!$O$12=2,'Inclination angle'!E26*Consumption!$F$34,'Inclination angle'!F26*Consumption!$F$34)/1000</f>
        <v>45.386425246790445</v>
      </c>
      <c r="K39" s="94">
        <f t="shared" si="4"/>
        <v>204.76685412860616</v>
      </c>
      <c r="L39" s="306"/>
      <c r="M39" s="94">
        <f t="shared" si="5"/>
        <v>63.764659649122805</v>
      </c>
      <c r="N39" s="94">
        <f t="shared" si="6"/>
        <v>54.463710296148534</v>
      </c>
      <c r="O39" s="306"/>
      <c r="P39" s="94">
        <f t="shared" si="7"/>
        <v>55.910205813419829</v>
      </c>
      <c r="Q39" s="94">
        <f t="shared" si="8"/>
        <v>75.770248902450263</v>
      </c>
      <c r="R39" s="94">
        <f t="shared" si="9"/>
        <v>75.034476852447966</v>
      </c>
      <c r="S39" s="304"/>
      <c r="T39" s="155"/>
      <c r="U39" s="37">
        <f t="shared" si="10"/>
        <v>8.0036893461229894</v>
      </c>
      <c r="V39" s="35">
        <f t="shared" si="11"/>
        <v>283.14357289299869</v>
      </c>
      <c r="W39" s="44" t="s">
        <v>96</v>
      </c>
      <c r="X39" s="45">
        <f t="shared" si="12"/>
        <v>3.6387362987787206E-2</v>
      </c>
      <c r="Y39" s="45">
        <f t="shared" si="13"/>
        <v>1.8708294187878879E-2</v>
      </c>
      <c r="Z39" s="46">
        <f t="shared" si="18"/>
        <v>7.4420908354258772</v>
      </c>
      <c r="AA39" s="46">
        <f t="shared" si="19"/>
        <v>8.3765969821135862</v>
      </c>
      <c r="AB39" s="46">
        <f t="shared" si="20"/>
        <v>-0.93450614668770893</v>
      </c>
      <c r="AC39" s="45">
        <f t="shared" si="21"/>
        <v>-1.7679068799908326E-2</v>
      </c>
      <c r="AD39" s="47">
        <f t="shared" si="14"/>
        <v>52.859466596597819</v>
      </c>
      <c r="AE39" s="48">
        <f>-((X39)*AD39)+AA39</f>
        <v>6.4531803837223682</v>
      </c>
      <c r="AF39" s="48">
        <f t="shared" si="15"/>
        <v>52.859466596597819</v>
      </c>
      <c r="AG39" s="48">
        <f t="shared" si="16"/>
        <v>6.4531803837223682</v>
      </c>
      <c r="AH39">
        <f>IF(AF39&gt;0,AF39,"")</f>
        <v>52.859466596597819</v>
      </c>
      <c r="AK39" s="35"/>
      <c r="AR39" s="115"/>
      <c r="AS39" s="115"/>
      <c r="AT39" s="115"/>
      <c r="AU39" s="115"/>
      <c r="AV39" s="115"/>
      <c r="AW39" s="115"/>
      <c r="AX39" s="115"/>
    </row>
    <row r="40" spans="1:50" ht="15" thickTop="1">
      <c r="A40" s="117"/>
      <c r="B40" s="279"/>
      <c r="C40" s="286">
        <v>12</v>
      </c>
      <c r="D40" s="301" t="s">
        <v>210</v>
      </c>
      <c r="E40" s="94">
        <f t="shared" si="0"/>
        <v>6.098612103838045</v>
      </c>
      <c r="F40" s="302">
        <v>2.5</v>
      </c>
      <c r="G40" s="94">
        <f t="shared" si="1"/>
        <v>2.924826572860908</v>
      </c>
      <c r="H40" s="314">
        <f t="shared" si="2"/>
        <v>0.60049804934926887</v>
      </c>
      <c r="I40" s="94">
        <f t="shared" si="3"/>
        <v>0.11409462937636108</v>
      </c>
      <c r="J40" s="94">
        <f>IF('Inclination angle'!$O$12=2,'Inclination angle'!E27*Consumption!$F$34,'Inclination angle'!F27*Consumption!$F$34)/1000</f>
        <v>45.386425246790445</v>
      </c>
      <c r="K40" s="94">
        <f t="shared" si="4"/>
        <v>220.21906545762539</v>
      </c>
      <c r="L40" s="307"/>
      <c r="M40" s="94">
        <f t="shared" si="5"/>
        <v>45.386425246790445</v>
      </c>
      <c r="N40" s="94">
        <f t="shared" si="6"/>
        <v>54.463710296148534</v>
      </c>
      <c r="O40" s="307"/>
      <c r="P40" s="94">
        <f t="shared" si="7"/>
        <v>54.463710296148527</v>
      </c>
      <c r="Q40" s="94">
        <f t="shared" si="8"/>
        <v>78.31234063152192</v>
      </c>
      <c r="R40" s="94">
        <f t="shared" si="9"/>
        <v>75.472902558401202</v>
      </c>
      <c r="S40" s="304"/>
      <c r="T40" s="155"/>
      <c r="U40" s="37">
        <f t="shared" si="10"/>
        <v>7.4420908354258772</v>
      </c>
      <c r="V40" s="35">
        <f t="shared" si="11"/>
        <v>397.79633357741483</v>
      </c>
      <c r="W40" s="51" t="s">
        <v>99</v>
      </c>
      <c r="X40" s="52">
        <f>IF($U$30=0,0,$U$30/$V$30)</f>
        <v>3.4089746633486288E-2</v>
      </c>
      <c r="Y40" s="52">
        <f>IF(V31=0,0,U31/V31)</f>
        <v>4.7034219715532254E-2</v>
      </c>
      <c r="Z40" s="53">
        <f>U31</f>
        <v>11.986730797896394</v>
      </c>
      <c r="AA40" s="53">
        <f>$U$30</f>
        <v>8.6878153466879695</v>
      </c>
      <c r="AB40" s="53">
        <f>Z40-AA40</f>
        <v>3.2989154512084244</v>
      </c>
      <c r="AC40" s="52">
        <f>Y40-X40</f>
        <v>1.2944473082045965E-2</v>
      </c>
      <c r="AD40" s="54">
        <f>IF(AC40=0,0,AB40/AC40)</f>
        <v>254.85127361298569</v>
      </c>
      <c r="AE40" s="33">
        <f>-((X40)*AD40)+AA40</f>
        <v>0</v>
      </c>
      <c r="AF40" s="33">
        <f t="shared" si="15"/>
        <v>254.85127361298569</v>
      </c>
      <c r="AG40" s="33">
        <f t="shared" si="16"/>
        <v>0</v>
      </c>
      <c r="AH40">
        <f t="shared" ref="AH40:AH59" si="23">IF(AF40&gt;0,AF40,"")</f>
        <v>254.85127361298569</v>
      </c>
      <c r="AI40" s="49">
        <f>MIN(AH40:AH49)</f>
        <v>80.988743791737477</v>
      </c>
      <c r="AJ40" s="50">
        <f>MAX(AG40:AG49)</f>
        <v>5.9269295906633035</v>
      </c>
      <c r="AK40" s="42">
        <f>IF(OR(AI40=0,AJ40=0),"",VLOOKUP(AI40,AF40:AG49,2,FALSE))</f>
        <v>5.9269295906633035</v>
      </c>
      <c r="AL40" s="41" t="str">
        <f>IF(AJ40=AK40,"ok","fallo")</f>
        <v>ok</v>
      </c>
      <c r="AM40" s="92">
        <f>IF($AL$40="ok",IF(AI40&lt;0.5,0.5,AI40),"")</f>
        <v>80.988743791737477</v>
      </c>
      <c r="AN40" s="35">
        <f>IF($AL$40="ok",AJ40,"")</f>
        <v>5.9269295906633035</v>
      </c>
      <c r="AO40" s="92">
        <f>IF(AM40="","",(AM40*$F$12)+(AN40*$F$11))</f>
        <v>58770.334195146694</v>
      </c>
      <c r="AP40" s="92">
        <f>AM40</f>
        <v>80.988743791737477</v>
      </c>
      <c r="AQ40" s="35">
        <f>AN40</f>
        <v>5.9269295906633035</v>
      </c>
      <c r="AR40" s="115"/>
      <c r="AS40" s="115"/>
      <c r="AT40" s="115"/>
      <c r="AU40" s="115"/>
      <c r="AV40" s="115"/>
      <c r="AW40" s="115"/>
      <c r="AX40" s="115"/>
    </row>
    <row r="41" spans="1:50">
      <c r="A41" s="117"/>
      <c r="B41" s="279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7"/>
      <c r="O41" s="287"/>
      <c r="P41" s="280"/>
      <c r="Q41" s="280"/>
      <c r="R41" s="280"/>
      <c r="S41" s="281"/>
      <c r="T41" s="3"/>
      <c r="V41" s="35"/>
      <c r="W41" s="51" t="s">
        <v>103</v>
      </c>
      <c r="X41" s="52">
        <f t="shared" ref="X41:X49" si="24">IF($U$30=0,0,$U$30/$V$30)</f>
        <v>3.4089746633486288E-2</v>
      </c>
      <c r="Y41" s="52">
        <f t="shared" ref="Y41:Y49" si="25">IF(V32=0,0,U32/V32)</f>
        <v>0.14990426029640458</v>
      </c>
      <c r="Z41" s="53">
        <f>U32</f>
        <v>18.394568539111756</v>
      </c>
      <c r="AA41" s="53">
        <f>$U$30</f>
        <v>8.6878153466879695</v>
      </c>
      <c r="AB41" s="53">
        <f>Z41-AA41</f>
        <v>9.7067531924237862</v>
      </c>
      <c r="AC41" s="52">
        <f>Y41-X41</f>
        <v>0.11581451366291828</v>
      </c>
      <c r="AD41" s="54">
        <f t="shared" ref="AD41:AD49" si="26">IF(AC41=0,0,AB41/AC41)</f>
        <v>83.812925387534676</v>
      </c>
      <c r="AE41" s="33">
        <f>-((X41)*AD41)+AA41</f>
        <v>5.8306539556156221</v>
      </c>
      <c r="AF41" s="33">
        <f t="shared" si="15"/>
        <v>83.812925387534676</v>
      </c>
      <c r="AG41" s="33">
        <f t="shared" si="16"/>
        <v>5.8306539556156221</v>
      </c>
      <c r="AH41">
        <f t="shared" si="23"/>
        <v>83.812925387534676</v>
      </c>
      <c r="AR41" s="115"/>
      <c r="AS41" s="115"/>
      <c r="AT41" s="115"/>
      <c r="AU41" s="115"/>
      <c r="AV41" s="115"/>
      <c r="AW41" s="115"/>
      <c r="AX41" s="115"/>
    </row>
    <row r="42" spans="1:50">
      <c r="A42" s="117"/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7"/>
      <c r="Q42" s="287"/>
      <c r="R42" s="280"/>
      <c r="S42" s="281"/>
      <c r="W42" s="51" t="s">
        <v>104</v>
      </c>
      <c r="X42" s="52">
        <f t="shared" si="24"/>
        <v>3.4089746633486288E-2</v>
      </c>
      <c r="Y42" s="52">
        <f t="shared" si="25"/>
        <v>0.15333544790357864</v>
      </c>
      <c r="Z42" s="53">
        <f t="shared" ref="Z42:Z49" si="27">U33</f>
        <v>29.085292331454411</v>
      </c>
      <c r="AA42" s="53">
        <f t="shared" ref="AA42:AA49" si="28">$U$30</f>
        <v>8.6878153466879695</v>
      </c>
      <c r="AB42" s="53">
        <f t="shared" ref="AB42:AB50" si="29">Z42-AA42</f>
        <v>20.397476984766442</v>
      </c>
      <c r="AC42" s="52">
        <f t="shared" ref="AC42:AC50" si="30">Y42-X42</f>
        <v>0.11924570127009235</v>
      </c>
      <c r="AD42" s="54">
        <f t="shared" si="26"/>
        <v>171.05419119944636</v>
      </c>
      <c r="AE42" s="33">
        <f t="shared" ref="AE42:AE50" si="31">-((X42)*AD42)+AA42</f>
        <v>2.8566213081029233</v>
      </c>
      <c r="AF42" s="33">
        <f t="shared" ref="AF42:AF50" si="32">IF(OR(AD42&gt;$K$14,AD42&lt;0),0,AD42)</f>
        <v>171.05419119944636</v>
      </c>
      <c r="AG42" s="33">
        <f t="shared" ref="AG42:AG50" si="33">IF(OR(AE42&gt;$K$13,AE42&lt;0),0,AE42)</f>
        <v>2.8566213081029233</v>
      </c>
      <c r="AH42">
        <f t="shared" si="23"/>
        <v>171.05419119944636</v>
      </c>
      <c r="AR42" s="115"/>
      <c r="AS42" s="115"/>
      <c r="AT42" s="115"/>
      <c r="AU42" s="115"/>
      <c r="AV42" s="115"/>
      <c r="AW42" s="115"/>
      <c r="AX42" s="115"/>
    </row>
    <row r="43" spans="1:50" ht="14.5" thickBot="1">
      <c r="A43" s="117"/>
      <c r="B43" s="308"/>
      <c r="C43" s="309"/>
      <c r="D43" s="310"/>
      <c r="E43" s="309"/>
      <c r="F43" s="309"/>
      <c r="G43" s="309"/>
      <c r="H43" s="309"/>
      <c r="I43" s="309"/>
      <c r="J43" s="309"/>
      <c r="K43" s="309"/>
      <c r="L43" s="309"/>
      <c r="M43" s="309"/>
      <c r="N43" s="311"/>
      <c r="O43" s="311"/>
      <c r="P43" s="309"/>
      <c r="Q43" s="309"/>
      <c r="R43" s="309"/>
      <c r="S43" s="312"/>
      <c r="W43" s="51" t="s">
        <v>105</v>
      </c>
      <c r="X43" s="52">
        <f t="shared" si="24"/>
        <v>3.4089746633486288E-2</v>
      </c>
      <c r="Y43" s="52">
        <f t="shared" si="25"/>
        <v>0.22833887292075836</v>
      </c>
      <c r="Z43" s="53">
        <f t="shared" si="27"/>
        <v>36.109701963014622</v>
      </c>
      <c r="AA43" s="53">
        <f t="shared" si="28"/>
        <v>8.6878153466879695</v>
      </c>
      <c r="AB43" s="53">
        <f t="shared" si="29"/>
        <v>27.421886616326653</v>
      </c>
      <c r="AC43" s="52">
        <f t="shared" si="30"/>
        <v>0.19424912628727206</v>
      </c>
      <c r="AD43" s="54">
        <f t="shared" si="26"/>
        <v>141.16864842816767</v>
      </c>
      <c r="AE43" s="33">
        <f t="shared" si="31"/>
        <v>3.8754118891800315</v>
      </c>
      <c r="AF43" s="33">
        <f t="shared" si="32"/>
        <v>141.16864842816767</v>
      </c>
      <c r="AG43" s="33">
        <f t="shared" si="33"/>
        <v>3.8754118891800315</v>
      </c>
      <c r="AH43">
        <f t="shared" si="23"/>
        <v>141.16864842816767</v>
      </c>
      <c r="AR43" s="115"/>
      <c r="AS43" s="115"/>
      <c r="AT43" s="115"/>
      <c r="AU43" s="115"/>
      <c r="AV43" s="115"/>
      <c r="AW43" s="115"/>
      <c r="AX43" s="115"/>
    </row>
    <row r="44" spans="1:50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8"/>
      <c r="Q44" s="118"/>
      <c r="R44" s="115"/>
      <c r="S44" s="115"/>
      <c r="W44" s="51" t="s">
        <v>106</v>
      </c>
      <c r="X44" s="52">
        <f t="shared" si="24"/>
        <v>3.4089746633486288E-2</v>
      </c>
      <c r="Y44" s="52">
        <f t="shared" si="25"/>
        <v>0.18446179975112237</v>
      </c>
      <c r="Z44" s="53">
        <f t="shared" si="27"/>
        <v>31.904021110766656</v>
      </c>
      <c r="AA44" s="53">
        <f t="shared" si="28"/>
        <v>8.6878153466879695</v>
      </c>
      <c r="AB44" s="53">
        <f t="shared" si="29"/>
        <v>23.216205764078687</v>
      </c>
      <c r="AC44" s="52">
        <f t="shared" si="30"/>
        <v>0.15037205311763607</v>
      </c>
      <c r="AD44" s="54">
        <f t="shared" si="26"/>
        <v>154.3917588590524</v>
      </c>
      <c r="AE44" s="33">
        <f t="shared" si="31"/>
        <v>3.4246394048845614</v>
      </c>
      <c r="AF44" s="33">
        <f t="shared" si="32"/>
        <v>154.3917588590524</v>
      </c>
      <c r="AG44" s="33">
        <f t="shared" si="33"/>
        <v>3.4246394048845614</v>
      </c>
      <c r="AH44">
        <f t="shared" si="23"/>
        <v>154.3917588590524</v>
      </c>
      <c r="AR44" s="115"/>
      <c r="AS44" s="115"/>
      <c r="AT44" s="115"/>
      <c r="AU44" s="115"/>
      <c r="AV44" s="115"/>
      <c r="AW44" s="115"/>
      <c r="AX44" s="115"/>
    </row>
    <row r="45" spans="1:50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8"/>
      <c r="O45" s="118"/>
      <c r="P45" s="115"/>
      <c r="Q45" s="115"/>
      <c r="R45" s="115"/>
      <c r="S45" s="115"/>
      <c r="W45" s="51" t="s">
        <v>107</v>
      </c>
      <c r="X45" s="52">
        <f t="shared" si="24"/>
        <v>3.4089746633486288E-2</v>
      </c>
      <c r="Y45" s="52">
        <f t="shared" si="25"/>
        <v>9.2962143042476256E-2</v>
      </c>
      <c r="Z45" s="53">
        <f t="shared" si="27"/>
        <v>21.400462768400601</v>
      </c>
      <c r="AA45" s="53">
        <f t="shared" si="28"/>
        <v>8.6878153466879695</v>
      </c>
      <c r="AB45" s="53">
        <f t="shared" si="29"/>
        <v>12.712647421712632</v>
      </c>
      <c r="AC45" s="52">
        <f t="shared" si="30"/>
        <v>5.8872396408989967E-2</v>
      </c>
      <c r="AD45" s="54">
        <f t="shared" si="26"/>
        <v>215.93562003824559</v>
      </c>
      <c r="AE45" s="33">
        <f t="shared" si="31"/>
        <v>1.3266247704394125</v>
      </c>
      <c r="AF45" s="33">
        <f t="shared" si="32"/>
        <v>215.93562003824559</v>
      </c>
      <c r="AG45" s="33">
        <f t="shared" si="33"/>
        <v>1.3266247704394125</v>
      </c>
      <c r="AH45">
        <f t="shared" si="23"/>
        <v>215.93562003824559</v>
      </c>
      <c r="AR45" s="115"/>
      <c r="AS45" s="115"/>
      <c r="AT45" s="115"/>
      <c r="AU45" s="115"/>
      <c r="AV45" s="115"/>
      <c r="AW45" s="115"/>
      <c r="AX45" s="115"/>
    </row>
    <row r="46" spans="1:50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8"/>
      <c r="Q46" s="118"/>
      <c r="R46" s="115"/>
      <c r="S46" s="115"/>
      <c r="W46" s="51" t="s">
        <v>108</v>
      </c>
      <c r="X46" s="52">
        <f t="shared" si="24"/>
        <v>3.4089746633486288E-2</v>
      </c>
      <c r="Y46" s="52">
        <f t="shared" si="25"/>
        <v>6.6553342184203626E-2</v>
      </c>
      <c r="Z46" s="53">
        <f t="shared" si="27"/>
        <v>13.885630049867883</v>
      </c>
      <c r="AA46" s="53">
        <f t="shared" si="28"/>
        <v>8.6878153466879695</v>
      </c>
      <c r="AB46" s="53">
        <f t="shared" si="29"/>
        <v>5.1978147031799136</v>
      </c>
      <c r="AC46" s="52">
        <f t="shared" si="30"/>
        <v>3.2463595550717338E-2</v>
      </c>
      <c r="AD46" s="54">
        <f t="shared" si="26"/>
        <v>160.11210757783911</v>
      </c>
      <c r="AE46" s="33">
        <f t="shared" si="31"/>
        <v>3.2296341664059343</v>
      </c>
      <c r="AF46" s="33">
        <f t="shared" si="32"/>
        <v>160.11210757783911</v>
      </c>
      <c r="AG46" s="33">
        <f t="shared" si="33"/>
        <v>3.2296341664059343</v>
      </c>
      <c r="AH46">
        <f t="shared" si="23"/>
        <v>160.11210757783911</v>
      </c>
      <c r="AR46" s="115"/>
      <c r="AS46" s="115"/>
      <c r="AT46" s="115"/>
      <c r="AU46" s="115"/>
      <c r="AV46" s="115"/>
      <c r="AW46" s="115"/>
      <c r="AX46" s="115"/>
    </row>
    <row r="47" spans="1:50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8"/>
      <c r="O47" s="118"/>
      <c r="P47" s="115"/>
      <c r="Q47" s="115"/>
      <c r="R47" s="115"/>
      <c r="S47" s="115"/>
      <c r="W47" s="51" t="s">
        <v>109</v>
      </c>
      <c r="X47" s="52">
        <f t="shared" si="24"/>
        <v>3.4089746633486288E-2</v>
      </c>
      <c r="Y47" s="52">
        <f t="shared" si="25"/>
        <v>3.1960326331748938E-2</v>
      </c>
      <c r="Z47" s="53">
        <f t="shared" si="27"/>
        <v>11.302433569487011</v>
      </c>
      <c r="AA47" s="53">
        <f t="shared" si="28"/>
        <v>8.6878153466879695</v>
      </c>
      <c r="AB47" s="53">
        <f t="shared" si="29"/>
        <v>2.6146182227990415</v>
      </c>
      <c r="AC47" s="52">
        <f t="shared" si="30"/>
        <v>-2.1294203017373503E-3</v>
      </c>
      <c r="AD47" s="54">
        <f t="shared" si="26"/>
        <v>-1227.8544638021101</v>
      </c>
      <c r="AE47" s="33">
        <f t="shared" si="31"/>
        <v>50.545062920497067</v>
      </c>
      <c r="AF47" s="33">
        <f t="shared" si="32"/>
        <v>0</v>
      </c>
      <c r="AG47" s="33">
        <f t="shared" si="33"/>
        <v>0</v>
      </c>
      <c r="AH47" t="str">
        <f t="shared" si="23"/>
        <v/>
      </c>
      <c r="AR47" s="115"/>
      <c r="AS47" s="115"/>
      <c r="AT47" s="115"/>
      <c r="AU47" s="115"/>
      <c r="AV47" s="115"/>
      <c r="AW47" s="115"/>
      <c r="AX47" s="115"/>
    </row>
    <row r="48" spans="1:50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8"/>
      <c r="Q48" s="118"/>
      <c r="R48" s="115"/>
      <c r="S48" s="115"/>
      <c r="W48" s="51" t="s">
        <v>110</v>
      </c>
      <c r="X48" s="52">
        <f t="shared" si="24"/>
        <v>3.4089746633486288E-2</v>
      </c>
      <c r="Y48" s="52">
        <f t="shared" si="25"/>
        <v>2.8267247122531796E-2</v>
      </c>
      <c r="Z48" s="53">
        <f t="shared" si="27"/>
        <v>8.0036893461229894</v>
      </c>
      <c r="AA48" s="53">
        <f t="shared" si="28"/>
        <v>8.6878153466879695</v>
      </c>
      <c r="AB48" s="53">
        <f t="shared" si="29"/>
        <v>-0.68412600056498007</v>
      </c>
      <c r="AC48" s="52">
        <f t="shared" si="30"/>
        <v>-5.8224995109544923E-3</v>
      </c>
      <c r="AD48" s="54">
        <f t="shared" si="26"/>
        <v>117.4969614472033</v>
      </c>
      <c r="AE48" s="33">
        <f t="shared" si="31"/>
        <v>4.6823737007483022</v>
      </c>
      <c r="AF48" s="33">
        <f t="shared" si="32"/>
        <v>117.4969614472033</v>
      </c>
      <c r="AG48" s="33">
        <f t="shared" si="33"/>
        <v>4.6823737007483022</v>
      </c>
      <c r="AH48">
        <f t="shared" si="23"/>
        <v>117.4969614472033</v>
      </c>
      <c r="AR48" s="115"/>
      <c r="AS48" s="115"/>
      <c r="AT48" s="115"/>
      <c r="AU48" s="115"/>
      <c r="AV48" s="115"/>
      <c r="AW48" s="115"/>
      <c r="AX48" s="115"/>
    </row>
    <row r="49" spans="1:50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8"/>
      <c r="O49" s="118"/>
      <c r="P49" s="115"/>
      <c r="Q49" s="115"/>
      <c r="R49" s="115"/>
      <c r="S49" s="115"/>
      <c r="W49" s="51" t="s">
        <v>111</v>
      </c>
      <c r="X49" s="52">
        <f t="shared" si="24"/>
        <v>3.4089746633486288E-2</v>
      </c>
      <c r="Y49" s="52">
        <f t="shared" si="25"/>
        <v>1.8708294187878879E-2</v>
      </c>
      <c r="Z49" s="53">
        <f t="shared" si="27"/>
        <v>7.4420908354258772</v>
      </c>
      <c r="AA49" s="53">
        <f t="shared" si="28"/>
        <v>8.6878153466879695</v>
      </c>
      <c r="AB49" s="53">
        <f t="shared" si="29"/>
        <v>-1.2457245112620923</v>
      </c>
      <c r="AC49" s="52">
        <f t="shared" si="30"/>
        <v>-1.5381452445607409E-2</v>
      </c>
      <c r="AD49" s="54">
        <f t="shared" si="26"/>
        <v>80.988743791737477</v>
      </c>
      <c r="AE49" s="33">
        <f t="shared" si="31"/>
        <v>5.9269295906633035</v>
      </c>
      <c r="AF49" s="33">
        <f t="shared" si="32"/>
        <v>80.988743791737477</v>
      </c>
      <c r="AG49" s="33">
        <f t="shared" si="33"/>
        <v>5.9269295906633035</v>
      </c>
      <c r="AH49">
        <f t="shared" si="23"/>
        <v>80.988743791737477</v>
      </c>
      <c r="AR49" s="115"/>
      <c r="AS49" s="115"/>
      <c r="AT49" s="115"/>
      <c r="AU49" s="115"/>
      <c r="AV49" s="115"/>
      <c r="AW49" s="115"/>
      <c r="AX49" s="115"/>
    </row>
    <row r="50" spans="1:50" ht="13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8"/>
      <c r="Q50" s="118"/>
      <c r="R50" s="115"/>
      <c r="S50" s="115"/>
      <c r="W50" s="43" t="s">
        <v>112</v>
      </c>
      <c r="X50" s="55">
        <f>IF($U$31=0,0,$U$31/$V$31)</f>
        <v>4.7034219715532254E-2</v>
      </c>
      <c r="Y50" s="55">
        <f>IF(V32=0,0,U32/V32)</f>
        <v>0.14990426029640458</v>
      </c>
      <c r="Z50" s="56">
        <f>U32</f>
        <v>18.394568539111756</v>
      </c>
      <c r="AA50" s="56">
        <f>$U$31</f>
        <v>11.986730797896394</v>
      </c>
      <c r="AB50" s="56">
        <f t="shared" si="29"/>
        <v>6.4078377412153618</v>
      </c>
      <c r="AC50" s="55">
        <f t="shared" si="30"/>
        <v>0.10287004058087232</v>
      </c>
      <c r="AD50" s="38">
        <f>IF(AC50=0,0,AB50/AC50)</f>
        <v>62.290611581685688</v>
      </c>
      <c r="AE50" s="57">
        <f t="shared" si="31"/>
        <v>9.0569404865485108</v>
      </c>
      <c r="AF50" s="57">
        <f t="shared" si="32"/>
        <v>62.290611581685688</v>
      </c>
      <c r="AG50" s="57">
        <f t="shared" si="33"/>
        <v>9.0569404865485108</v>
      </c>
      <c r="AH50">
        <f t="shared" si="23"/>
        <v>62.290611581685688</v>
      </c>
      <c r="AI50" s="49">
        <f>MIN(AH50:AH58)</f>
        <v>45.396183387203635</v>
      </c>
      <c r="AJ50" s="50">
        <f>MAX(AG50:AG58)</f>
        <v>9.8515567342160626</v>
      </c>
      <c r="AK50" s="42">
        <f>IF(OR(AI50=0,AJ50=0),"",VLOOKUP(AI50,AF50:AG58,2,FALSE))</f>
        <v>9.8515567342160626</v>
      </c>
      <c r="AL50" s="41" t="str">
        <f>IF(AJ50=AK50,"ok","fallo")</f>
        <v>ok</v>
      </c>
      <c r="AM50" s="92">
        <f>IF($AL$50="ok",IF(AI50&lt;0.5,0.5,AI50),"")</f>
        <v>45.396183387203635</v>
      </c>
      <c r="AN50" s="35">
        <f>IF($AL$50="ok",AJ50,"")</f>
        <v>9.8515567342160626</v>
      </c>
      <c r="AO50" s="92">
        <f>IF(AM50="","",(AM50*$F$12)+(AN50*$F$11))</f>
        <v>61997.900822142932</v>
      </c>
      <c r="AP50" s="92">
        <f>AM50</f>
        <v>45.396183387203635</v>
      </c>
      <c r="AQ50" s="35">
        <f>AN50</f>
        <v>9.8515567342160626</v>
      </c>
      <c r="AR50" s="115"/>
      <c r="AS50" s="115"/>
      <c r="AT50" s="115"/>
      <c r="AU50" s="115"/>
      <c r="AV50" s="115"/>
      <c r="AW50" s="115"/>
      <c r="AX50" s="115"/>
    </row>
    <row r="51" spans="1:50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8"/>
      <c r="O51" s="118"/>
      <c r="P51" s="115"/>
      <c r="Q51" s="115"/>
      <c r="R51" s="115"/>
      <c r="S51" s="115"/>
      <c r="W51" s="43" t="s">
        <v>113</v>
      </c>
      <c r="X51" s="55">
        <f t="shared" ref="X51:X58" si="34">IF($U$31=0,0,$U$31/$V$31)</f>
        <v>4.7034219715532254E-2</v>
      </c>
      <c r="Y51" s="55">
        <f t="shared" ref="Y51:Y58" si="35">IF(V33=0,0,U33/V33)</f>
        <v>0.15333544790357864</v>
      </c>
      <c r="Z51" s="56">
        <f t="shared" ref="Z51:Z58" si="36">U33</f>
        <v>29.085292331454411</v>
      </c>
      <c r="AA51" s="56">
        <f t="shared" ref="AA51:AA58" si="37">$U$31</f>
        <v>11.986730797896394</v>
      </c>
      <c r="AB51" s="56">
        <f t="shared" ref="AB51:AB59" si="38">Z51-AA51</f>
        <v>17.098561533558019</v>
      </c>
      <c r="AC51" s="55">
        <f t="shared" ref="AC51:AC59" si="39">Y51-X51</f>
        <v>0.10630122818804638</v>
      </c>
      <c r="AD51" s="38">
        <f t="shared" ref="AD51:AD58" si="40">IF(AC51=0,0,AB51/AC51)</f>
        <v>160.85008447231431</v>
      </c>
      <c r="AE51" s="57">
        <f t="shared" ref="AE51:AE59" si="41">-((X51)*AD51)+AA51</f>
        <v>4.4212725835636402</v>
      </c>
      <c r="AF51" s="57">
        <f t="shared" ref="AF51:AF59" si="42">IF(OR(AD51&gt;$K$14,AD51&lt;0),0,AD51)</f>
        <v>160.85008447231431</v>
      </c>
      <c r="AG51" s="57">
        <f t="shared" ref="AG51:AG59" si="43">IF(OR(AE51&gt;$K$13,AE51&lt;0),0,AE51)</f>
        <v>4.4212725835636402</v>
      </c>
      <c r="AH51">
        <f t="shared" si="23"/>
        <v>160.85008447231431</v>
      </c>
      <c r="AR51" s="115"/>
      <c r="AS51" s="115"/>
      <c r="AT51" s="115"/>
      <c r="AU51" s="115"/>
      <c r="AV51" s="115"/>
      <c r="AW51" s="115"/>
      <c r="AX51" s="115"/>
    </row>
    <row r="52" spans="1:50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8"/>
      <c r="Q52" s="118"/>
      <c r="R52" s="115"/>
      <c r="S52" s="115"/>
      <c r="W52" s="43" t="s">
        <v>114</v>
      </c>
      <c r="X52" s="55">
        <f t="shared" si="34"/>
        <v>4.7034219715532254E-2</v>
      </c>
      <c r="Y52" s="55">
        <f t="shared" si="35"/>
        <v>0.22833887292075836</v>
      </c>
      <c r="Z52" s="56">
        <f t="shared" si="36"/>
        <v>36.109701963014622</v>
      </c>
      <c r="AA52" s="56">
        <f t="shared" si="37"/>
        <v>11.986730797896394</v>
      </c>
      <c r="AB52" s="56">
        <f t="shared" si="38"/>
        <v>24.12297116511823</v>
      </c>
      <c r="AC52" s="55">
        <f t="shared" si="39"/>
        <v>0.1813046532052261</v>
      </c>
      <c r="AD52" s="38">
        <f t="shared" si="40"/>
        <v>133.05213483854968</v>
      </c>
      <c r="AE52" s="57">
        <f t="shared" si="41"/>
        <v>5.7287274542794249</v>
      </c>
      <c r="AF52" s="57">
        <f t="shared" si="42"/>
        <v>133.05213483854968</v>
      </c>
      <c r="AG52" s="57">
        <f t="shared" si="43"/>
        <v>5.7287274542794249</v>
      </c>
      <c r="AH52">
        <f t="shared" si="23"/>
        <v>133.05213483854968</v>
      </c>
      <c r="AR52" s="115"/>
      <c r="AS52" s="115"/>
      <c r="AT52" s="115"/>
      <c r="AU52" s="115"/>
      <c r="AV52" s="115"/>
      <c r="AW52" s="115"/>
      <c r="AX52" s="115"/>
    </row>
    <row r="53" spans="1:50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W53" s="43" t="s">
        <v>115</v>
      </c>
      <c r="X53" s="55">
        <f t="shared" si="34"/>
        <v>4.7034219715532254E-2</v>
      </c>
      <c r="Y53" s="55">
        <f t="shared" si="35"/>
        <v>0.18446179975112237</v>
      </c>
      <c r="Z53" s="56">
        <f t="shared" si="36"/>
        <v>31.904021110766656</v>
      </c>
      <c r="AA53" s="56">
        <f t="shared" si="37"/>
        <v>11.986730797896394</v>
      </c>
      <c r="AB53" s="56">
        <f t="shared" si="38"/>
        <v>19.917290312870264</v>
      </c>
      <c r="AC53" s="55">
        <f t="shared" si="39"/>
        <v>0.13742758003559011</v>
      </c>
      <c r="AD53" s="38">
        <f t="shared" si="40"/>
        <v>144.92935339261751</v>
      </c>
      <c r="AE53" s="57">
        <f t="shared" si="41"/>
        <v>5.1700917471980024</v>
      </c>
      <c r="AF53" s="57">
        <f t="shared" si="42"/>
        <v>144.92935339261751</v>
      </c>
      <c r="AG53" s="57">
        <f t="shared" si="43"/>
        <v>5.1700917471980024</v>
      </c>
      <c r="AH53">
        <f t="shared" si="23"/>
        <v>144.92935339261751</v>
      </c>
      <c r="AR53" s="115"/>
      <c r="AS53" s="115"/>
      <c r="AT53" s="115"/>
      <c r="AU53" s="115"/>
      <c r="AV53" s="115"/>
      <c r="AW53" s="115"/>
      <c r="AX53" s="115"/>
    </row>
    <row r="54" spans="1:50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W54" s="43" t="s">
        <v>116</v>
      </c>
      <c r="X54" s="55">
        <f t="shared" si="34"/>
        <v>4.7034219715532254E-2</v>
      </c>
      <c r="Y54" s="55">
        <f t="shared" si="35"/>
        <v>9.2962143042476256E-2</v>
      </c>
      <c r="Z54" s="56">
        <f t="shared" si="36"/>
        <v>21.400462768400601</v>
      </c>
      <c r="AA54" s="56">
        <f t="shared" si="37"/>
        <v>11.986730797896394</v>
      </c>
      <c r="AB54" s="56">
        <f t="shared" si="38"/>
        <v>9.4137319705042071</v>
      </c>
      <c r="AC54" s="55">
        <f t="shared" si="39"/>
        <v>4.5927923326944002E-2</v>
      </c>
      <c r="AD54" s="38">
        <f t="shared" si="40"/>
        <v>204.96750753329974</v>
      </c>
      <c r="AE54" s="57">
        <f t="shared" si="41"/>
        <v>2.3462440140301624</v>
      </c>
      <c r="AF54" s="57">
        <f t="shared" si="42"/>
        <v>204.96750753329974</v>
      </c>
      <c r="AG54" s="57">
        <f t="shared" si="43"/>
        <v>2.3462440140301624</v>
      </c>
      <c r="AH54">
        <f t="shared" si="23"/>
        <v>204.96750753329974</v>
      </c>
      <c r="AR54" s="115"/>
      <c r="AS54" s="115"/>
      <c r="AT54" s="115"/>
      <c r="AU54" s="115"/>
      <c r="AV54" s="115"/>
      <c r="AW54" s="115"/>
      <c r="AX54" s="115"/>
    </row>
    <row r="55" spans="1:50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W55" s="43" t="s">
        <v>117</v>
      </c>
      <c r="X55" s="55">
        <f t="shared" si="34"/>
        <v>4.7034219715532254E-2</v>
      </c>
      <c r="Y55" s="55">
        <f t="shared" si="35"/>
        <v>6.6553342184203626E-2</v>
      </c>
      <c r="Z55" s="56">
        <f t="shared" si="36"/>
        <v>13.885630049867883</v>
      </c>
      <c r="AA55" s="56">
        <f t="shared" si="37"/>
        <v>11.986730797896394</v>
      </c>
      <c r="AB55" s="56">
        <f t="shared" si="38"/>
        <v>1.8988992519714891</v>
      </c>
      <c r="AC55" s="55">
        <f t="shared" si="39"/>
        <v>1.9519122468671372E-2</v>
      </c>
      <c r="AD55" s="38">
        <f t="shared" si="40"/>
        <v>97.284048246495956</v>
      </c>
      <c r="AE55" s="57">
        <f t="shared" si="41"/>
        <v>7.4110514978542632</v>
      </c>
      <c r="AF55" s="57">
        <f t="shared" si="42"/>
        <v>97.284048246495956</v>
      </c>
      <c r="AG55" s="57">
        <f t="shared" si="43"/>
        <v>7.4110514978542632</v>
      </c>
      <c r="AH55">
        <f t="shared" si="23"/>
        <v>97.284048246495956</v>
      </c>
      <c r="AR55" s="115"/>
      <c r="AS55" s="115"/>
      <c r="AT55" s="115"/>
      <c r="AU55" s="115"/>
      <c r="AV55" s="115"/>
      <c r="AW55" s="115"/>
      <c r="AX55" s="115"/>
    </row>
    <row r="56" spans="1:50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W56" s="43" t="s">
        <v>118</v>
      </c>
      <c r="X56" s="55">
        <f t="shared" si="34"/>
        <v>4.7034219715532254E-2</v>
      </c>
      <c r="Y56" s="55">
        <f t="shared" si="35"/>
        <v>3.1960326331748938E-2</v>
      </c>
      <c r="Z56" s="56">
        <f t="shared" si="36"/>
        <v>11.302433569487011</v>
      </c>
      <c r="AA56" s="56">
        <f t="shared" si="37"/>
        <v>11.986730797896394</v>
      </c>
      <c r="AB56" s="56">
        <f t="shared" si="38"/>
        <v>-0.6842972284093829</v>
      </c>
      <c r="AC56" s="55">
        <f t="shared" si="39"/>
        <v>-1.5073893383783316E-2</v>
      </c>
      <c r="AD56" s="38">
        <f t="shared" si="40"/>
        <v>45.396183387203635</v>
      </c>
      <c r="AE56" s="57">
        <f t="shared" si="41"/>
        <v>9.8515567342160626</v>
      </c>
      <c r="AF56" s="57">
        <f t="shared" si="42"/>
        <v>45.396183387203635</v>
      </c>
      <c r="AG56" s="57">
        <f t="shared" si="43"/>
        <v>9.8515567342160626</v>
      </c>
      <c r="AH56">
        <f t="shared" si="23"/>
        <v>45.396183387203635</v>
      </c>
      <c r="AR56" s="115"/>
      <c r="AS56" s="115"/>
      <c r="AT56" s="115"/>
      <c r="AU56" s="115"/>
      <c r="AV56" s="115"/>
      <c r="AW56" s="115"/>
      <c r="AX56" s="115"/>
    </row>
    <row r="57" spans="1:50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W57" s="43" t="s">
        <v>119</v>
      </c>
      <c r="X57" s="55">
        <f t="shared" si="34"/>
        <v>4.7034219715532254E-2</v>
      </c>
      <c r="Y57" s="55">
        <f t="shared" si="35"/>
        <v>2.8267247122531796E-2</v>
      </c>
      <c r="Z57" s="56">
        <f t="shared" si="36"/>
        <v>8.0036893461229894</v>
      </c>
      <c r="AA57" s="56">
        <f t="shared" si="37"/>
        <v>11.986730797896394</v>
      </c>
      <c r="AB57" s="56">
        <f t="shared" si="38"/>
        <v>-3.9830414517734045</v>
      </c>
      <c r="AC57" s="55">
        <f t="shared" si="39"/>
        <v>-1.8766972593000458E-2</v>
      </c>
      <c r="AD57" s="38">
        <f t="shared" si="40"/>
        <v>212.23675966037084</v>
      </c>
      <c r="AE57" s="57">
        <f t="shared" si="41"/>
        <v>2.0043404123178998</v>
      </c>
      <c r="AF57" s="57">
        <f t="shared" si="42"/>
        <v>212.23675966037084</v>
      </c>
      <c r="AG57" s="57">
        <f t="shared" si="43"/>
        <v>2.0043404123178998</v>
      </c>
      <c r="AH57">
        <f t="shared" si="23"/>
        <v>212.23675966037084</v>
      </c>
      <c r="AR57" s="115"/>
      <c r="AS57" s="115"/>
      <c r="AT57" s="115"/>
      <c r="AU57" s="115"/>
      <c r="AV57" s="115"/>
      <c r="AW57" s="115"/>
      <c r="AX57" s="115"/>
    </row>
    <row r="58" spans="1:50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W58" s="43" t="s">
        <v>120</v>
      </c>
      <c r="X58" s="55">
        <f t="shared" si="34"/>
        <v>4.7034219715532254E-2</v>
      </c>
      <c r="Y58" s="55">
        <f t="shared" si="35"/>
        <v>1.8708294187878879E-2</v>
      </c>
      <c r="Z58" s="56">
        <f t="shared" si="36"/>
        <v>7.4420908354258772</v>
      </c>
      <c r="AA58" s="56">
        <f t="shared" si="37"/>
        <v>11.986730797896394</v>
      </c>
      <c r="AB58" s="56">
        <f t="shared" si="38"/>
        <v>-4.5446399624705167</v>
      </c>
      <c r="AC58" s="55">
        <f t="shared" si="39"/>
        <v>-2.8325925527653374E-2</v>
      </c>
      <c r="AD58" s="38">
        <f t="shared" si="40"/>
        <v>160.44100511504141</v>
      </c>
      <c r="AE58" s="57">
        <f t="shared" si="41"/>
        <v>4.4405133119347022</v>
      </c>
      <c r="AF58" s="57">
        <f t="shared" si="42"/>
        <v>160.44100511504141</v>
      </c>
      <c r="AG58" s="57">
        <f t="shared" si="43"/>
        <v>4.4405133119347022</v>
      </c>
      <c r="AH58">
        <f t="shared" si="23"/>
        <v>160.44100511504141</v>
      </c>
      <c r="AR58" s="115"/>
      <c r="AS58" s="115"/>
      <c r="AT58" s="115"/>
      <c r="AU58" s="115"/>
      <c r="AV58" s="115"/>
      <c r="AW58" s="115"/>
      <c r="AX58" s="115"/>
    </row>
    <row r="59" spans="1:50" ht="13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W59" s="58" t="s">
        <v>121</v>
      </c>
      <c r="X59" s="59">
        <f>IF($U$32=0,0,$U$32/$V$32)</f>
        <v>0.14990426029640458</v>
      </c>
      <c r="Y59" s="59">
        <f>IF(V33=0,0,U33/V33)</f>
        <v>0.15333544790357864</v>
      </c>
      <c r="Z59" s="60">
        <f>U33</f>
        <v>29.085292331454411</v>
      </c>
      <c r="AA59" s="60">
        <f>$U$32</f>
        <v>18.394568539111756</v>
      </c>
      <c r="AB59" s="60">
        <f t="shared" si="38"/>
        <v>10.690723792342656</v>
      </c>
      <c r="AC59" s="59">
        <f t="shared" si="39"/>
        <v>3.4311876071740632E-3</v>
      </c>
      <c r="AD59" s="61">
        <f>IF(AC59=0,0,AB59/AC59)</f>
        <v>3115.7502929860398</v>
      </c>
      <c r="AE59" s="32">
        <f t="shared" si="41"/>
        <v>-448.6696743992664</v>
      </c>
      <c r="AF59" s="32">
        <f t="shared" si="42"/>
        <v>0</v>
      </c>
      <c r="AG59" s="32">
        <f t="shared" si="43"/>
        <v>0</v>
      </c>
      <c r="AH59" t="str">
        <f t="shared" si="23"/>
        <v/>
      </c>
      <c r="AI59" s="49">
        <f>MIN(AH59:AH66)</f>
        <v>54.09584670890208</v>
      </c>
      <c r="AJ59" s="50">
        <f>MAX(AG59:AG66)</f>
        <v>26.307803464349625</v>
      </c>
      <c r="AK59" s="42">
        <f>IF(OR(AI59=0,AJ59=0),"",VLOOKUP(AI59,AF59:AG66,2,FALSE))</f>
        <v>10.285370653106098</v>
      </c>
      <c r="AL59" s="41" t="str">
        <f>IF(AJ59=AK59,"ok","fallo")</f>
        <v>fallo</v>
      </c>
      <c r="AM59" s="92" t="str">
        <f>IF($AL$59="ok",IF(AI59&lt;0.5,0.5,AI59),"")</f>
        <v/>
      </c>
      <c r="AN59" s="35" t="str">
        <f>IF($AL$59="ok",AJ59,"")</f>
        <v/>
      </c>
      <c r="AO59" s="92" t="str">
        <f>IF(AM59="","",(AM59*$F$12)+(AN59*$F$11))</f>
        <v/>
      </c>
      <c r="AP59" s="92" t="str">
        <f>AM59</f>
        <v/>
      </c>
      <c r="AQ59" s="35" t="str">
        <f>AN59</f>
        <v/>
      </c>
      <c r="AR59" s="115"/>
      <c r="AS59" s="115"/>
      <c r="AT59" s="115"/>
      <c r="AU59" s="115"/>
      <c r="AV59" s="115"/>
      <c r="AW59" s="115"/>
      <c r="AX59" s="115"/>
    </row>
    <row r="60" spans="1:50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W60" s="58" t="s">
        <v>122</v>
      </c>
      <c r="X60" s="59">
        <f t="shared" ref="X60:X66" si="44">IF($U$32=0,0,$U$32/$V$32)</f>
        <v>0.14990426029640458</v>
      </c>
      <c r="Y60" s="59">
        <f t="shared" ref="Y60:Y66" si="45">IF(V34=0,0,U34/V34)</f>
        <v>0.22833887292075836</v>
      </c>
      <c r="Z60" s="60">
        <f t="shared" ref="Z60:Z66" si="46">U34</f>
        <v>36.109701963014622</v>
      </c>
      <c r="AA60" s="60">
        <f t="shared" ref="AA60:AA66" si="47">$U$32</f>
        <v>18.394568539111756</v>
      </c>
      <c r="AB60" s="60">
        <f t="shared" ref="AB60:AB67" si="48">Z60-AA60</f>
        <v>17.715133423902866</v>
      </c>
      <c r="AC60" s="59">
        <f t="shared" ref="AC60:AC67" si="49">Y60-X60</f>
        <v>7.8434612624353778E-2</v>
      </c>
      <c r="AD60" s="61">
        <f t="shared" ref="AD60:AD66" si="50">IF(AC60=0,0,AB60/AC60)</f>
        <v>225.85862071820006</v>
      </c>
      <c r="AE60" s="32">
        <f t="shared" ref="AE60:AE67" si="51">-((X60)*AD60)+AA60</f>
        <v>-15.462600931216219</v>
      </c>
      <c r="AF60" s="32">
        <f t="shared" ref="AF60:AF67" si="52">IF(OR(AD60&gt;$K$14,AD60&lt;0),0,AD60)</f>
        <v>225.85862071820006</v>
      </c>
      <c r="AG60" s="32">
        <f t="shared" ref="AG60:AG67" si="53">IF(OR(AE60&gt;$K$13,AE60&lt;0),0,AE60)</f>
        <v>0</v>
      </c>
      <c r="AH60">
        <f t="shared" ref="AH60:AH67" si="54">IF(AF60&gt;0,AF60,"")</f>
        <v>225.85862071820006</v>
      </c>
      <c r="AR60" s="115"/>
      <c r="AS60" s="115"/>
      <c r="AT60" s="115"/>
      <c r="AU60" s="115"/>
      <c r="AV60" s="115"/>
      <c r="AW60" s="115"/>
      <c r="AX60" s="115"/>
    </row>
    <row r="61" spans="1:50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W61" s="58" t="s">
        <v>123</v>
      </c>
      <c r="X61" s="59">
        <f t="shared" si="44"/>
        <v>0.14990426029640458</v>
      </c>
      <c r="Y61" s="59">
        <f t="shared" si="45"/>
        <v>0.18446179975112237</v>
      </c>
      <c r="Z61" s="60">
        <f t="shared" si="46"/>
        <v>31.904021110766656</v>
      </c>
      <c r="AA61" s="60">
        <f t="shared" si="47"/>
        <v>18.394568539111756</v>
      </c>
      <c r="AB61" s="60">
        <f t="shared" si="48"/>
        <v>13.509452571654901</v>
      </c>
      <c r="AC61" s="59">
        <f t="shared" si="49"/>
        <v>3.4557539454717789E-2</v>
      </c>
      <c r="AD61" s="61">
        <f t="shared" si="50"/>
        <v>390.92634443366285</v>
      </c>
      <c r="AE61" s="32">
        <f t="shared" si="51"/>
        <v>-40.206955953593948</v>
      </c>
      <c r="AF61" s="32">
        <f t="shared" si="52"/>
        <v>390.92634443366285</v>
      </c>
      <c r="AG61" s="32">
        <f t="shared" si="53"/>
        <v>0</v>
      </c>
      <c r="AH61">
        <f t="shared" si="54"/>
        <v>390.92634443366285</v>
      </c>
      <c r="AR61" s="115"/>
      <c r="AS61" s="115"/>
      <c r="AT61" s="115"/>
      <c r="AU61" s="115"/>
      <c r="AV61" s="115"/>
      <c r="AW61" s="115"/>
      <c r="AX61" s="115"/>
    </row>
    <row r="62" spans="1:50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W62" s="58" t="s">
        <v>124</v>
      </c>
      <c r="X62" s="59">
        <f t="shared" si="44"/>
        <v>0.14990426029640458</v>
      </c>
      <c r="Y62" s="59">
        <f t="shared" si="45"/>
        <v>9.2962143042476256E-2</v>
      </c>
      <c r="Z62" s="60">
        <f t="shared" si="46"/>
        <v>21.400462768400601</v>
      </c>
      <c r="AA62" s="60">
        <f t="shared" si="47"/>
        <v>18.394568539111756</v>
      </c>
      <c r="AB62" s="60">
        <f t="shared" si="48"/>
        <v>3.0058942292888453</v>
      </c>
      <c r="AC62" s="59">
        <f t="shared" si="49"/>
        <v>-5.6942117253928323E-2</v>
      </c>
      <c r="AD62" s="61">
        <f t="shared" si="50"/>
        <v>-52.788592596308398</v>
      </c>
      <c r="AE62" s="32">
        <f t="shared" si="51"/>
        <v>26.307803464349625</v>
      </c>
      <c r="AF62" s="32">
        <f t="shared" si="52"/>
        <v>0</v>
      </c>
      <c r="AG62" s="32">
        <f t="shared" si="53"/>
        <v>26.307803464349625</v>
      </c>
      <c r="AH62" t="str">
        <f t="shared" si="54"/>
        <v/>
      </c>
      <c r="AR62" s="115"/>
      <c r="AS62" s="115"/>
      <c r="AT62" s="115"/>
      <c r="AU62" s="115"/>
      <c r="AV62" s="115"/>
      <c r="AW62" s="115"/>
      <c r="AX62" s="115"/>
    </row>
    <row r="63" spans="1:50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W63" s="58" t="s">
        <v>125</v>
      </c>
      <c r="X63" s="59">
        <f t="shared" si="44"/>
        <v>0.14990426029640458</v>
      </c>
      <c r="Y63" s="59">
        <f t="shared" si="45"/>
        <v>6.6553342184203626E-2</v>
      </c>
      <c r="Z63" s="60">
        <f t="shared" si="46"/>
        <v>13.885630049867883</v>
      </c>
      <c r="AA63" s="60">
        <f t="shared" si="47"/>
        <v>18.394568539111756</v>
      </c>
      <c r="AB63" s="60">
        <f t="shared" si="48"/>
        <v>-4.5089384892438726</v>
      </c>
      <c r="AC63" s="59">
        <f t="shared" si="49"/>
        <v>-8.3350918112200953E-2</v>
      </c>
      <c r="AD63" s="61">
        <f t="shared" si="50"/>
        <v>54.09584670890208</v>
      </c>
      <c r="AE63" s="32">
        <f t="shared" si="51"/>
        <v>10.285370653106098</v>
      </c>
      <c r="AF63" s="32">
        <f t="shared" si="52"/>
        <v>54.09584670890208</v>
      </c>
      <c r="AG63" s="32">
        <f t="shared" si="53"/>
        <v>10.285370653106098</v>
      </c>
      <c r="AH63">
        <f t="shared" si="54"/>
        <v>54.09584670890208</v>
      </c>
      <c r="AR63" s="115"/>
      <c r="AS63" s="115"/>
      <c r="AT63" s="115"/>
      <c r="AU63" s="115"/>
      <c r="AV63" s="115"/>
      <c r="AW63" s="115"/>
      <c r="AX63" s="115"/>
    </row>
    <row r="64" spans="1:50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W64" s="58" t="s">
        <v>126</v>
      </c>
      <c r="X64" s="59">
        <f t="shared" si="44"/>
        <v>0.14990426029640458</v>
      </c>
      <c r="Y64" s="59">
        <f t="shared" si="45"/>
        <v>3.1960326331748938E-2</v>
      </c>
      <c r="Z64" s="60">
        <f t="shared" si="46"/>
        <v>11.302433569487011</v>
      </c>
      <c r="AA64" s="60">
        <f t="shared" si="47"/>
        <v>18.394568539111756</v>
      </c>
      <c r="AB64" s="60">
        <f t="shared" si="48"/>
        <v>-7.0921349696247447</v>
      </c>
      <c r="AC64" s="59">
        <f t="shared" si="49"/>
        <v>-0.11794393396465563</v>
      </c>
      <c r="AD64" s="61">
        <f t="shared" si="50"/>
        <v>60.13140931648126</v>
      </c>
      <c r="AE64" s="32">
        <f t="shared" si="51"/>
        <v>9.3806141049443017</v>
      </c>
      <c r="AF64" s="32">
        <f t="shared" si="52"/>
        <v>60.13140931648126</v>
      </c>
      <c r="AG64" s="32">
        <f t="shared" si="53"/>
        <v>9.3806141049443017</v>
      </c>
      <c r="AH64">
        <f t="shared" si="54"/>
        <v>60.13140931648126</v>
      </c>
      <c r="AR64" s="115"/>
      <c r="AS64" s="115"/>
      <c r="AT64" s="115"/>
      <c r="AU64" s="115"/>
      <c r="AV64" s="115"/>
      <c r="AW64" s="115"/>
      <c r="AX64" s="115"/>
    </row>
    <row r="65" spans="1:50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W65" s="58" t="s">
        <v>127</v>
      </c>
      <c r="X65" s="59">
        <f t="shared" si="44"/>
        <v>0.14990426029640458</v>
      </c>
      <c r="Y65" s="59">
        <f t="shared" si="45"/>
        <v>2.8267247122531796E-2</v>
      </c>
      <c r="Z65" s="60">
        <f t="shared" si="46"/>
        <v>8.0036893461229894</v>
      </c>
      <c r="AA65" s="60">
        <f t="shared" si="47"/>
        <v>18.394568539111756</v>
      </c>
      <c r="AB65" s="60">
        <f t="shared" si="48"/>
        <v>-10.390879192988766</v>
      </c>
      <c r="AC65" s="59">
        <f t="shared" si="49"/>
        <v>-0.12163701317387278</v>
      </c>
      <c r="AD65" s="61">
        <f t="shared" si="50"/>
        <v>85.425307000391655</v>
      </c>
      <c r="AE65" s="32">
        <f t="shared" si="51"/>
        <v>5.5889510826247726</v>
      </c>
      <c r="AF65" s="32">
        <f t="shared" si="52"/>
        <v>85.425307000391655</v>
      </c>
      <c r="AG65" s="32">
        <f t="shared" si="53"/>
        <v>5.5889510826247726</v>
      </c>
      <c r="AH65">
        <f t="shared" si="54"/>
        <v>85.425307000391655</v>
      </c>
      <c r="AR65" s="115"/>
      <c r="AS65" s="115"/>
      <c r="AT65" s="115"/>
      <c r="AU65" s="115"/>
      <c r="AV65" s="115"/>
      <c r="AW65" s="115"/>
      <c r="AX65" s="115"/>
    </row>
    <row r="66" spans="1:50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W66" s="58" t="s">
        <v>128</v>
      </c>
      <c r="X66" s="59">
        <f t="shared" si="44"/>
        <v>0.14990426029640458</v>
      </c>
      <c r="Y66" s="59">
        <f t="shared" si="45"/>
        <v>1.8708294187878879E-2</v>
      </c>
      <c r="Z66" s="60">
        <f t="shared" si="46"/>
        <v>7.4420908354258772</v>
      </c>
      <c r="AA66" s="60">
        <f t="shared" si="47"/>
        <v>18.394568539111756</v>
      </c>
      <c r="AB66" s="60">
        <f t="shared" si="48"/>
        <v>-10.952477703685879</v>
      </c>
      <c r="AC66" s="59">
        <f t="shared" si="49"/>
        <v>-0.13119596610852569</v>
      </c>
      <c r="AD66" s="61">
        <f t="shared" si="50"/>
        <v>83.481817532605831</v>
      </c>
      <c r="AE66" s="32">
        <f t="shared" si="51"/>
        <v>5.8802884336870598</v>
      </c>
      <c r="AF66" s="32">
        <f t="shared" si="52"/>
        <v>83.481817532605831</v>
      </c>
      <c r="AG66" s="32">
        <f t="shared" si="53"/>
        <v>5.8802884336870598</v>
      </c>
      <c r="AH66">
        <f t="shared" si="54"/>
        <v>83.481817532605831</v>
      </c>
      <c r="AR66" s="115"/>
      <c r="AS66" s="115"/>
      <c r="AT66" s="115"/>
      <c r="AU66" s="115"/>
      <c r="AV66" s="115"/>
      <c r="AW66" s="115"/>
      <c r="AX66" s="115"/>
    </row>
    <row r="67" spans="1:50" ht="1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W67" s="62" t="s">
        <v>129</v>
      </c>
      <c r="X67" s="63">
        <f>IF($U$33=0,0,$U$33/$V$33)</f>
        <v>0.15333544790357864</v>
      </c>
      <c r="Y67" s="63">
        <f>IF(V34=0,0,U34/V34)</f>
        <v>0.22833887292075836</v>
      </c>
      <c r="Z67" s="64">
        <f>U34</f>
        <v>36.109701963014622</v>
      </c>
      <c r="AA67" s="64">
        <f>$U$33</f>
        <v>29.085292331454411</v>
      </c>
      <c r="AB67" s="64">
        <f t="shared" si="48"/>
        <v>7.0244096315602107</v>
      </c>
      <c r="AC67" s="63">
        <f t="shared" si="49"/>
        <v>7.5003425017179715E-2</v>
      </c>
      <c r="AD67" s="65">
        <f>IF(AC67=0,0,AB67/AC67)</f>
        <v>93.654518176353321</v>
      </c>
      <c r="AE67" s="66">
        <f t="shared" si="51"/>
        <v>14.724734838689427</v>
      </c>
      <c r="AF67" s="66">
        <f t="shared" si="52"/>
        <v>93.654518176353321</v>
      </c>
      <c r="AG67" s="66">
        <f t="shared" si="53"/>
        <v>14.724734838689427</v>
      </c>
      <c r="AH67">
        <f t="shared" si="54"/>
        <v>93.654518176353321</v>
      </c>
      <c r="AI67" s="49">
        <f>MIN(AH67:AH73)</f>
        <v>90.557634030429412</v>
      </c>
      <c r="AJ67" s="50">
        <f>MAX(AG67:AG73)</f>
        <v>15.199596956310161</v>
      </c>
      <c r="AK67" s="42">
        <f>IF(OR(AI67=0,AJ67=0),"",VLOOKUP(AI67,AF67:AG73,2,FALSE))</f>
        <v>15.199596956310161</v>
      </c>
      <c r="AL67" s="41" t="str">
        <f>IF(AJ67=AK67,"ok","fallo")</f>
        <v>ok</v>
      </c>
      <c r="AM67" s="92">
        <f>IF($AL$67="ok",IF(AI67&lt;0.5,0.5,AI67),"")</f>
        <v>90.557634030429412</v>
      </c>
      <c r="AN67" s="35">
        <f>IF($AL$67="ok",AJ67,"")</f>
        <v>15.199596956310161</v>
      </c>
      <c r="AO67" s="92">
        <f>IF(AM67="","",(AM67*$F$12)+(AN67*$F$11))</f>
        <v>103861.26006775198</v>
      </c>
      <c r="AP67" s="92">
        <f>AM67</f>
        <v>90.557634030429412</v>
      </c>
      <c r="AQ67" s="35">
        <f>AN67</f>
        <v>15.199596956310161</v>
      </c>
      <c r="AR67" s="115"/>
      <c r="AS67" s="115"/>
      <c r="AT67" s="115"/>
      <c r="AU67" s="115"/>
      <c r="AV67" s="115"/>
      <c r="AW67" s="115"/>
      <c r="AX67" s="115"/>
    </row>
    <row r="68" spans="1:50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W68" s="62" t="s">
        <v>130</v>
      </c>
      <c r="X68" s="63">
        <f t="shared" ref="X68:X73" si="55">IF($U$33=0,0,$U$33/$V$33)</f>
        <v>0.15333544790357864</v>
      </c>
      <c r="Y68" s="63">
        <f t="shared" ref="Y68:Y73" si="56">IF(V35=0,0,U35/V35)</f>
        <v>0.18446179975112237</v>
      </c>
      <c r="Z68" s="64">
        <f t="shared" ref="Z68:Z73" si="57">U35</f>
        <v>31.904021110766656</v>
      </c>
      <c r="AA68" s="64">
        <f t="shared" ref="AA68:AA73" si="58">$U$33</f>
        <v>29.085292331454411</v>
      </c>
      <c r="AB68" s="64">
        <f t="shared" ref="AB68:AB74" si="59">Z68-AA68</f>
        <v>2.8187287793122451</v>
      </c>
      <c r="AC68" s="63">
        <f t="shared" ref="AC68:AC74" si="60">Y68-X68</f>
        <v>3.1126351847543726E-2</v>
      </c>
      <c r="AD68" s="65">
        <f t="shared" ref="AD68:AD73" si="61">IF(AC68=0,0,AB68/AC68)</f>
        <v>90.557634030429412</v>
      </c>
      <c r="AE68" s="66">
        <f t="shared" ref="AE68:AE74" si="62">-((X68)*AD68)+AA68</f>
        <v>15.199596956310161</v>
      </c>
      <c r="AF68" s="66">
        <f t="shared" ref="AF68:AF74" si="63">IF(OR(AD68&gt;$K$14,AD68&lt;0),0,AD68)</f>
        <v>90.557634030429412</v>
      </c>
      <c r="AG68" s="66">
        <f t="shared" ref="AG68:AG74" si="64">IF(OR(AE68&gt;$K$13,AE68&lt;0),0,AE68)</f>
        <v>15.199596956310161</v>
      </c>
      <c r="AH68">
        <f t="shared" ref="AH68:AH74" si="65">IF(AF68&gt;0,AF68,"")</f>
        <v>90.557634030429412</v>
      </c>
      <c r="AR68" s="115"/>
      <c r="AS68" s="115"/>
      <c r="AT68" s="115"/>
      <c r="AU68" s="115"/>
      <c r="AV68" s="115"/>
      <c r="AW68" s="115"/>
      <c r="AX68" s="115"/>
    </row>
    <row r="69" spans="1:50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W69" s="62" t="s">
        <v>131</v>
      </c>
      <c r="X69" s="63">
        <f t="shared" si="55"/>
        <v>0.15333544790357864</v>
      </c>
      <c r="Y69" s="63">
        <f t="shared" si="56"/>
        <v>9.2962143042476256E-2</v>
      </c>
      <c r="Z69" s="64">
        <f t="shared" si="57"/>
        <v>21.400462768400601</v>
      </c>
      <c r="AA69" s="64">
        <f t="shared" si="58"/>
        <v>29.085292331454411</v>
      </c>
      <c r="AB69" s="64">
        <f t="shared" si="59"/>
        <v>-7.6848295630538104</v>
      </c>
      <c r="AC69" s="63">
        <f t="shared" si="60"/>
        <v>-6.0373304861102386E-2</v>
      </c>
      <c r="AD69" s="65">
        <f t="shared" si="61"/>
        <v>127.28853556607319</v>
      </c>
      <c r="AE69" s="66">
        <f t="shared" si="62"/>
        <v>9.567447717439979</v>
      </c>
      <c r="AF69" s="66">
        <f t="shared" si="63"/>
        <v>127.28853556607319</v>
      </c>
      <c r="AG69" s="66">
        <f t="shared" si="64"/>
        <v>9.567447717439979</v>
      </c>
      <c r="AH69">
        <f t="shared" si="65"/>
        <v>127.28853556607319</v>
      </c>
      <c r="AR69" s="115"/>
      <c r="AS69" s="115"/>
      <c r="AT69" s="115"/>
      <c r="AU69" s="115"/>
      <c r="AV69" s="115"/>
      <c r="AW69" s="115"/>
      <c r="AX69" s="115"/>
    </row>
    <row r="70" spans="1:50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W70" s="62" t="s">
        <v>132</v>
      </c>
      <c r="X70" s="63">
        <f t="shared" si="55"/>
        <v>0.15333544790357864</v>
      </c>
      <c r="Y70" s="63">
        <f t="shared" si="56"/>
        <v>6.6553342184203626E-2</v>
      </c>
      <c r="Z70" s="64">
        <f t="shared" si="57"/>
        <v>13.885630049867883</v>
      </c>
      <c r="AA70" s="64">
        <f t="shared" si="58"/>
        <v>29.085292331454411</v>
      </c>
      <c r="AB70" s="64">
        <f t="shared" si="59"/>
        <v>-15.199662281586528</v>
      </c>
      <c r="AC70" s="63">
        <f t="shared" si="60"/>
        <v>-8.6782105719375016E-2</v>
      </c>
      <c r="AD70" s="65">
        <f t="shared" si="61"/>
        <v>175.14742417909599</v>
      </c>
      <c r="AE70" s="66">
        <f t="shared" si="62"/>
        <v>2.2289835957946487</v>
      </c>
      <c r="AF70" s="66">
        <f t="shared" si="63"/>
        <v>175.14742417909599</v>
      </c>
      <c r="AG70" s="66">
        <f t="shared" si="64"/>
        <v>2.2289835957946487</v>
      </c>
      <c r="AH70">
        <f t="shared" si="65"/>
        <v>175.14742417909599</v>
      </c>
      <c r="AR70" s="115"/>
      <c r="AS70" s="115"/>
      <c r="AT70" s="115"/>
      <c r="AU70" s="115"/>
      <c r="AV70" s="115"/>
      <c r="AW70" s="115"/>
      <c r="AX70" s="115"/>
    </row>
    <row r="71" spans="1:50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W71" s="62" t="s">
        <v>133</v>
      </c>
      <c r="X71" s="63">
        <f t="shared" si="55"/>
        <v>0.15333544790357864</v>
      </c>
      <c r="Y71" s="63">
        <f t="shared" si="56"/>
        <v>3.1960326331748938E-2</v>
      </c>
      <c r="Z71" s="64">
        <f t="shared" si="57"/>
        <v>11.302433569487011</v>
      </c>
      <c r="AA71" s="64">
        <f t="shared" si="58"/>
        <v>29.085292331454411</v>
      </c>
      <c r="AB71" s="64">
        <f t="shared" si="59"/>
        <v>-17.7828587619674</v>
      </c>
      <c r="AC71" s="63">
        <f t="shared" si="60"/>
        <v>-0.1213751215718297</v>
      </c>
      <c r="AD71" s="65">
        <f t="shared" si="61"/>
        <v>146.51156292719773</v>
      </c>
      <c r="AE71" s="66">
        <f t="shared" si="62"/>
        <v>6.6198762069592014</v>
      </c>
      <c r="AF71" s="66">
        <f t="shared" si="63"/>
        <v>146.51156292719773</v>
      </c>
      <c r="AG71" s="66">
        <f t="shared" si="64"/>
        <v>6.6198762069592014</v>
      </c>
      <c r="AH71">
        <f t="shared" si="65"/>
        <v>146.51156292719773</v>
      </c>
      <c r="AR71" s="115"/>
      <c r="AS71" s="115"/>
      <c r="AT71" s="115"/>
      <c r="AU71" s="115"/>
      <c r="AV71" s="115"/>
      <c r="AW71" s="115"/>
      <c r="AX71" s="115"/>
    </row>
    <row r="72" spans="1:50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W72" s="62" t="s">
        <v>134</v>
      </c>
      <c r="X72" s="63">
        <f t="shared" si="55"/>
        <v>0.15333544790357864</v>
      </c>
      <c r="Y72" s="63">
        <f t="shared" si="56"/>
        <v>2.8267247122531796E-2</v>
      </c>
      <c r="Z72" s="64">
        <f t="shared" si="57"/>
        <v>8.0036893461229894</v>
      </c>
      <c r="AA72" s="64">
        <f t="shared" si="58"/>
        <v>29.085292331454411</v>
      </c>
      <c r="AB72" s="64">
        <f t="shared" si="59"/>
        <v>-21.081602985331422</v>
      </c>
      <c r="AC72" s="63">
        <f t="shared" si="60"/>
        <v>-0.12506820078104686</v>
      </c>
      <c r="AD72" s="65">
        <f t="shared" si="61"/>
        <v>168.56085602637197</v>
      </c>
      <c r="AE72" s="66">
        <f t="shared" si="62"/>
        <v>3.2389379736400343</v>
      </c>
      <c r="AF72" s="66">
        <f t="shared" si="63"/>
        <v>168.56085602637197</v>
      </c>
      <c r="AG72" s="66">
        <f t="shared" si="64"/>
        <v>3.2389379736400343</v>
      </c>
      <c r="AH72">
        <f t="shared" si="65"/>
        <v>168.56085602637197</v>
      </c>
      <c r="AR72" s="115"/>
      <c r="AS72" s="115"/>
      <c r="AT72" s="115"/>
      <c r="AU72" s="115"/>
      <c r="AV72" s="115"/>
      <c r="AW72" s="115"/>
      <c r="AX72" s="115"/>
    </row>
    <row r="73" spans="1:50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W73" s="62" t="s">
        <v>135</v>
      </c>
      <c r="X73" s="63">
        <f t="shared" si="55"/>
        <v>0.15333544790357864</v>
      </c>
      <c r="Y73" s="63">
        <f t="shared" si="56"/>
        <v>1.8708294187878879E-2</v>
      </c>
      <c r="Z73" s="64">
        <f t="shared" si="57"/>
        <v>7.4420908354258772</v>
      </c>
      <c r="AA73" s="64">
        <f t="shared" si="58"/>
        <v>29.085292331454411</v>
      </c>
      <c r="AB73" s="64">
        <f t="shared" si="59"/>
        <v>-21.643201496028535</v>
      </c>
      <c r="AC73" s="63">
        <f t="shared" si="60"/>
        <v>-0.13462715371569978</v>
      </c>
      <c r="AD73" s="65">
        <f t="shared" si="61"/>
        <v>160.76401304400878</v>
      </c>
      <c r="AE73" s="66">
        <f t="shared" si="62"/>
        <v>4.434470384574567</v>
      </c>
      <c r="AF73" s="66">
        <f t="shared" si="63"/>
        <v>160.76401304400878</v>
      </c>
      <c r="AG73" s="66">
        <f t="shared" si="64"/>
        <v>4.434470384574567</v>
      </c>
      <c r="AH73">
        <f t="shared" si="65"/>
        <v>160.76401304400878</v>
      </c>
      <c r="AR73" s="115"/>
      <c r="AS73" s="115"/>
      <c r="AT73" s="115"/>
      <c r="AU73" s="115"/>
      <c r="AV73" s="115"/>
      <c r="AW73" s="115"/>
      <c r="AX73" s="115"/>
    </row>
    <row r="74" spans="1:50" ht="13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W74" s="67" t="s">
        <v>136</v>
      </c>
      <c r="X74" s="68">
        <f>IF($U$34=0,0,$U$34/$V$34)</f>
        <v>0.22833887292075836</v>
      </c>
      <c r="Y74" s="68">
        <f>IF(V35=0,0,U35/V35)</f>
        <v>0.18446179975112237</v>
      </c>
      <c r="Z74" s="69">
        <f t="shared" ref="Z74:Z79" si="66">U35</f>
        <v>31.904021110766656</v>
      </c>
      <c r="AA74" s="69">
        <f t="shared" ref="AA74:AA79" si="67">$U$34</f>
        <v>36.109701963014622</v>
      </c>
      <c r="AB74" s="69">
        <f t="shared" si="59"/>
        <v>-4.2056808522479656</v>
      </c>
      <c r="AC74" s="68">
        <f t="shared" si="60"/>
        <v>-4.3877073169635988E-2</v>
      </c>
      <c r="AD74" s="70">
        <f>IF(AC74=0,0,AB74/AC74)</f>
        <v>95.851444693863485</v>
      </c>
      <c r="AE74" s="71">
        <f t="shared" si="62"/>
        <v>14.22309111379143</v>
      </c>
      <c r="AF74" s="71">
        <f t="shared" si="63"/>
        <v>95.851444693863485</v>
      </c>
      <c r="AG74" s="71">
        <f t="shared" si="64"/>
        <v>14.22309111379143</v>
      </c>
      <c r="AH74">
        <f t="shared" si="65"/>
        <v>95.851444693863485</v>
      </c>
      <c r="AI74" s="49">
        <f>MIN(AH74:AH79)</f>
        <v>95.851444693863485</v>
      </c>
      <c r="AJ74" s="50">
        <f>MAX(AG74:AG79)</f>
        <v>14.22309111379143</v>
      </c>
      <c r="AK74" s="42">
        <f>IF(OR(AI74=0,AJ74=0),"",VLOOKUP(AI74,AF74:AG79,2,FALSE))</f>
        <v>14.22309111379143</v>
      </c>
      <c r="AL74" s="41" t="str">
        <f>IF(AJ74=AK74,"ok","fallo")</f>
        <v>ok</v>
      </c>
      <c r="AM74" s="92">
        <f>IF($AL$74="ok",IF(AI74&lt;0.5,0.5,AI74),"")</f>
        <v>95.851444693863485</v>
      </c>
      <c r="AN74" s="35">
        <f>IF($AL$74="ok",AJ74,"")</f>
        <v>14.22309111379143</v>
      </c>
      <c r="AO74" s="92">
        <f>IF(AM74="","",(AM74*$F$12)+(AN74*$F$11))</f>
        <v>101633.33333391725</v>
      </c>
      <c r="AP74" s="92">
        <f>AM74</f>
        <v>95.851444693863485</v>
      </c>
      <c r="AQ74" s="35">
        <f>AN74</f>
        <v>14.22309111379143</v>
      </c>
      <c r="AR74" s="115"/>
      <c r="AS74" s="115"/>
      <c r="AT74" s="115"/>
      <c r="AU74" s="115"/>
      <c r="AV74" s="115"/>
      <c r="AW74" s="115"/>
      <c r="AX74" s="115"/>
    </row>
    <row r="75" spans="1:50">
      <c r="W75" s="67" t="s">
        <v>137</v>
      </c>
      <c r="X75" s="68">
        <f t="shared" ref="X75:X79" si="68">IF($U$34=0,0,$U$34/$V$34)</f>
        <v>0.22833887292075836</v>
      </c>
      <c r="Y75" s="68">
        <f t="shared" ref="Y75:Y79" si="69">IF(V36=0,0,U36/V36)</f>
        <v>9.2962143042476256E-2</v>
      </c>
      <c r="Z75" s="69">
        <f t="shared" si="66"/>
        <v>21.400462768400601</v>
      </c>
      <c r="AA75" s="69">
        <f t="shared" si="67"/>
        <v>36.109701963014622</v>
      </c>
      <c r="AB75" s="69">
        <f t="shared" ref="AB75:AB80" si="70">Z75-AA75</f>
        <v>-14.709239194614021</v>
      </c>
      <c r="AC75" s="68">
        <f t="shared" ref="AC75:AC80" si="71">Y75-X75</f>
        <v>-0.13537672987828209</v>
      </c>
      <c r="AD75" s="70">
        <f t="shared" ref="AD75:AD79" si="72">IF(AC75=0,0,AB75/AC75)</f>
        <v>108.65411808838324</v>
      </c>
      <c r="AE75" s="71">
        <f t="shared" ref="AE75:AE80" si="73">-((X75)*AD75)+AA75</f>
        <v>11.29974310051421</v>
      </c>
      <c r="AF75" s="71">
        <f t="shared" ref="AF75:AF80" si="74">IF(OR(AD75&gt;$K$14,AD75&lt;0),0,AD75)</f>
        <v>108.65411808838324</v>
      </c>
      <c r="AG75" s="71">
        <f t="shared" ref="AG75:AG80" si="75">IF(OR(AE75&gt;$K$13,AE75&lt;0),0,AE75)</f>
        <v>11.29974310051421</v>
      </c>
      <c r="AH75">
        <f t="shared" ref="AH75:AH80" si="76">IF(AF75&gt;0,AF75,"")</f>
        <v>108.65411808838324</v>
      </c>
    </row>
    <row r="76" spans="1:50">
      <c r="W76" s="67" t="s">
        <v>138</v>
      </c>
      <c r="X76" s="68">
        <f t="shared" si="68"/>
        <v>0.22833887292075836</v>
      </c>
      <c r="Y76" s="68">
        <f t="shared" si="69"/>
        <v>6.6553342184203626E-2</v>
      </c>
      <c r="Z76" s="69">
        <f t="shared" si="66"/>
        <v>13.885630049867883</v>
      </c>
      <c r="AA76" s="69">
        <f t="shared" si="67"/>
        <v>36.109701963014622</v>
      </c>
      <c r="AB76" s="69">
        <f t="shared" si="70"/>
        <v>-22.224071913146737</v>
      </c>
      <c r="AC76" s="68">
        <f t="shared" si="71"/>
        <v>-0.16178553073655472</v>
      </c>
      <c r="AD76" s="70">
        <f t="shared" si="72"/>
        <v>137.36748775967831</v>
      </c>
      <c r="AE76" s="71">
        <f t="shared" si="73"/>
        <v>4.7433646320136056</v>
      </c>
      <c r="AF76" s="71">
        <f t="shared" si="74"/>
        <v>137.36748775967831</v>
      </c>
      <c r="AG76" s="71">
        <f t="shared" si="75"/>
        <v>4.7433646320136056</v>
      </c>
      <c r="AH76">
        <f t="shared" si="76"/>
        <v>137.36748775967831</v>
      </c>
    </row>
    <row r="77" spans="1:50">
      <c r="W77" s="67" t="s">
        <v>139</v>
      </c>
      <c r="X77" s="68">
        <f t="shared" si="68"/>
        <v>0.22833887292075836</v>
      </c>
      <c r="Y77" s="68">
        <f t="shared" si="69"/>
        <v>3.1960326331748938E-2</v>
      </c>
      <c r="Z77" s="69">
        <f t="shared" si="66"/>
        <v>11.302433569487011</v>
      </c>
      <c r="AA77" s="69">
        <f t="shared" si="67"/>
        <v>36.109701963014622</v>
      </c>
      <c r="AB77" s="69">
        <f t="shared" si="70"/>
        <v>-24.807268393527611</v>
      </c>
      <c r="AC77" s="68">
        <f t="shared" si="71"/>
        <v>-0.19637854658900941</v>
      </c>
      <c r="AD77" s="70">
        <f t="shared" si="72"/>
        <v>126.32371928816374</v>
      </c>
      <c r="AE77" s="71">
        <f t="shared" si="73"/>
        <v>7.2650862775970495</v>
      </c>
      <c r="AF77" s="71">
        <f t="shared" si="74"/>
        <v>126.32371928816374</v>
      </c>
      <c r="AG77" s="71">
        <f t="shared" si="75"/>
        <v>7.2650862775970495</v>
      </c>
      <c r="AH77">
        <f t="shared" si="76"/>
        <v>126.32371928816374</v>
      </c>
    </row>
    <row r="78" spans="1:50">
      <c r="W78" s="67" t="s">
        <v>140</v>
      </c>
      <c r="X78" s="68">
        <f t="shared" si="68"/>
        <v>0.22833887292075836</v>
      </c>
      <c r="Y78" s="68">
        <f t="shared" si="69"/>
        <v>2.8267247122531796E-2</v>
      </c>
      <c r="Z78" s="69">
        <f t="shared" si="66"/>
        <v>8.0036893461229894</v>
      </c>
      <c r="AA78" s="69">
        <f t="shared" si="67"/>
        <v>36.109701963014622</v>
      </c>
      <c r="AB78" s="69">
        <f t="shared" si="70"/>
        <v>-28.106012616891633</v>
      </c>
      <c r="AC78" s="68">
        <f t="shared" si="71"/>
        <v>-0.20007162579822657</v>
      </c>
      <c r="AD78" s="70">
        <f t="shared" si="72"/>
        <v>140.47975321216569</v>
      </c>
      <c r="AE78" s="71">
        <f t="shared" si="73"/>
        <v>4.0327134463624219</v>
      </c>
      <c r="AF78" s="71">
        <f t="shared" si="74"/>
        <v>140.47975321216569</v>
      </c>
      <c r="AG78" s="71">
        <f t="shared" si="75"/>
        <v>4.0327134463624219</v>
      </c>
      <c r="AH78">
        <f t="shared" si="76"/>
        <v>140.47975321216569</v>
      </c>
    </row>
    <row r="79" spans="1:50">
      <c r="W79" s="67" t="s">
        <v>141</v>
      </c>
      <c r="X79" s="68">
        <f t="shared" si="68"/>
        <v>0.22833887292075836</v>
      </c>
      <c r="Y79" s="68">
        <f t="shared" si="69"/>
        <v>1.8708294187878879E-2</v>
      </c>
      <c r="Z79" s="69">
        <f t="shared" si="66"/>
        <v>7.4420908354258772</v>
      </c>
      <c r="AA79" s="69">
        <f t="shared" si="67"/>
        <v>36.109701963014622</v>
      </c>
      <c r="AB79" s="69">
        <f t="shared" si="70"/>
        <v>-28.667611127588746</v>
      </c>
      <c r="AC79" s="68">
        <f t="shared" si="71"/>
        <v>-0.20963057873287949</v>
      </c>
      <c r="AD79" s="70">
        <f t="shared" si="72"/>
        <v>136.7530028341823</v>
      </c>
      <c r="AE79" s="71">
        <f t="shared" si="73"/>
        <v>4.8836754273281642</v>
      </c>
      <c r="AF79" s="71">
        <f t="shared" si="74"/>
        <v>136.7530028341823</v>
      </c>
      <c r="AG79" s="71">
        <f t="shared" si="75"/>
        <v>4.8836754273281642</v>
      </c>
      <c r="AH79">
        <f t="shared" si="76"/>
        <v>136.7530028341823</v>
      </c>
    </row>
    <row r="80" spans="1:50" ht="13">
      <c r="W80" s="156" t="s">
        <v>142</v>
      </c>
      <c r="X80" s="157">
        <f>IF($U$35=0,0,$U$35/$V$35)</f>
        <v>0.18446179975112237</v>
      </c>
      <c r="Y80" s="157">
        <f>IF(V36=0,0,U36/V36)</f>
        <v>9.2962143042476256E-2</v>
      </c>
      <c r="Z80" s="158">
        <f>U36</f>
        <v>21.400462768400601</v>
      </c>
      <c r="AA80" s="158">
        <f>$U$35</f>
        <v>31.904021110766656</v>
      </c>
      <c r="AB80" s="158">
        <f t="shared" si="70"/>
        <v>-10.503558342366055</v>
      </c>
      <c r="AC80" s="157">
        <f t="shared" si="71"/>
        <v>-9.1499656708646113E-2</v>
      </c>
      <c r="AD80" s="159">
        <f>IF(AC80=0,0,AB80/AC80)</f>
        <v>114.7934180322836</v>
      </c>
      <c r="AE80" s="160">
        <f t="shared" si="73"/>
        <v>10.729020620948681</v>
      </c>
      <c r="AF80" s="160">
        <f t="shared" si="74"/>
        <v>114.7934180322836</v>
      </c>
      <c r="AG80" s="160">
        <f t="shared" si="75"/>
        <v>10.729020620948681</v>
      </c>
      <c r="AH80">
        <f t="shared" si="76"/>
        <v>114.7934180322836</v>
      </c>
      <c r="AI80" s="49">
        <f>MIN(AH80:AH84)</f>
        <v>114.7934180322836</v>
      </c>
      <c r="AJ80" s="50">
        <f>MAX(AG80:AG84)</f>
        <v>10.729020620948681</v>
      </c>
      <c r="AK80" s="42">
        <f>IF(OR(AI80=0,AJ80=0),"",VLOOKUP(AI80,AF80:AG84,2,FALSE))</f>
        <v>10.729020620948681</v>
      </c>
      <c r="AL80" s="41" t="str">
        <f>IF(AJ80=AK80,"ok","fallo")</f>
        <v>ok</v>
      </c>
      <c r="AM80" s="92">
        <f>IF($AL$80="ok",IF(AI80&lt;0.5,0.5,AI80),"")</f>
        <v>114.7934180322836</v>
      </c>
      <c r="AN80" s="35">
        <f>IF($AL$80="ok",AJ80,"")</f>
        <v>10.729020620948681</v>
      </c>
      <c r="AO80" s="92">
        <f>IF(AM80="","",(AM80*$F$12)+(AN80*$F$11))</f>
        <v>93661.508976135068</v>
      </c>
      <c r="AP80" s="92">
        <f>AM80</f>
        <v>114.7934180322836</v>
      </c>
      <c r="AQ80" s="35">
        <f>AN80</f>
        <v>10.729020620948681</v>
      </c>
    </row>
    <row r="81" spans="23:43">
      <c r="W81" s="156" t="s">
        <v>143</v>
      </c>
      <c r="X81" s="157">
        <f t="shared" ref="X81:X84" si="77">IF($U$35=0,0,$U$35/$V$35)</f>
        <v>0.18446179975112237</v>
      </c>
      <c r="Y81" s="157">
        <f t="shared" ref="Y81:Y84" si="78">IF(V37=0,0,U37/V37)</f>
        <v>6.6553342184203626E-2</v>
      </c>
      <c r="Z81" s="158">
        <f>U37</f>
        <v>13.885630049867883</v>
      </c>
      <c r="AA81" s="158">
        <f>$U$35</f>
        <v>31.904021110766656</v>
      </c>
      <c r="AB81" s="158">
        <f t="shared" ref="AB81:AB94" si="79">Z81-AA81</f>
        <v>-18.018391060898772</v>
      </c>
      <c r="AC81" s="157">
        <f t="shared" ref="AC81:AC94" si="80">Y81-X81</f>
        <v>-0.11790845756691874</v>
      </c>
      <c r="AD81" s="159">
        <f t="shared" ref="AD81:AD84" si="81">IF(AC81=0,0,AB81/AC81)</f>
        <v>152.81678204188589</v>
      </c>
      <c r="AE81" s="160">
        <f t="shared" ref="AE81:AE94" si="82">-((X81)*AD81)+AA81</f>
        <v>3.7151624631453899</v>
      </c>
      <c r="AF81" s="160">
        <f t="shared" ref="AF81:AF94" si="83">IF(OR(AD81&gt;$K$14,AD81&lt;0),0,AD81)</f>
        <v>152.81678204188589</v>
      </c>
      <c r="AG81" s="160">
        <f t="shared" ref="AG81:AG94" si="84">IF(OR(AE81&gt;$K$13,AE81&lt;0),0,AE81)</f>
        <v>3.7151624631453899</v>
      </c>
      <c r="AH81">
        <f t="shared" ref="AH81:AH94" si="85">IF(AF81&gt;0,AF81,"")</f>
        <v>152.81678204188589</v>
      </c>
    </row>
    <row r="82" spans="23:43">
      <c r="W82" s="156" t="s">
        <v>144</v>
      </c>
      <c r="X82" s="157">
        <f t="shared" si="77"/>
        <v>0.18446179975112237</v>
      </c>
      <c r="Y82" s="157">
        <f t="shared" si="78"/>
        <v>3.1960326331748938E-2</v>
      </c>
      <c r="Z82" s="158">
        <f>U38</f>
        <v>11.302433569487011</v>
      </c>
      <c r="AA82" s="158">
        <f>$U$35</f>
        <v>31.904021110766656</v>
      </c>
      <c r="AB82" s="158">
        <f t="shared" si="79"/>
        <v>-20.601587541279645</v>
      </c>
      <c r="AC82" s="157">
        <f t="shared" si="80"/>
        <v>-0.15250147341937342</v>
      </c>
      <c r="AD82" s="159">
        <f t="shared" si="81"/>
        <v>135.09107210148744</v>
      </c>
      <c r="AE82" s="160">
        <f t="shared" si="82"/>
        <v>6.9848788206176451</v>
      </c>
      <c r="AF82" s="160">
        <f t="shared" si="83"/>
        <v>135.09107210148744</v>
      </c>
      <c r="AG82" s="160">
        <f t="shared" si="84"/>
        <v>6.9848788206176451</v>
      </c>
      <c r="AH82">
        <f t="shared" si="85"/>
        <v>135.09107210148744</v>
      </c>
    </row>
    <row r="83" spans="23:43">
      <c r="W83" s="156" t="s">
        <v>145</v>
      </c>
      <c r="X83" s="157">
        <f t="shared" si="77"/>
        <v>0.18446179975112237</v>
      </c>
      <c r="Y83" s="157">
        <f t="shared" si="78"/>
        <v>2.8267247122531796E-2</v>
      </c>
      <c r="Z83" s="158">
        <f>U39</f>
        <v>8.0036893461229894</v>
      </c>
      <c r="AA83" s="158">
        <f>$U$35</f>
        <v>31.904021110766656</v>
      </c>
      <c r="AB83" s="158">
        <f t="shared" si="79"/>
        <v>-23.900331764643667</v>
      </c>
      <c r="AC83" s="157">
        <f t="shared" si="80"/>
        <v>-0.15619455262859058</v>
      </c>
      <c r="AD83" s="159">
        <f t="shared" si="81"/>
        <v>153.01642318778818</v>
      </c>
      <c r="AE83" s="160">
        <f t="shared" si="82"/>
        <v>3.678336298067876</v>
      </c>
      <c r="AF83" s="160">
        <f t="shared" si="83"/>
        <v>153.01642318778818</v>
      </c>
      <c r="AG83" s="160">
        <f t="shared" si="84"/>
        <v>3.678336298067876</v>
      </c>
      <c r="AH83">
        <f t="shared" si="85"/>
        <v>153.01642318778818</v>
      </c>
    </row>
    <row r="84" spans="23:43">
      <c r="W84" s="156" t="s">
        <v>146</v>
      </c>
      <c r="X84" s="157">
        <f t="shared" si="77"/>
        <v>0.18446179975112237</v>
      </c>
      <c r="Y84" s="157">
        <f t="shared" si="78"/>
        <v>1.8708294187878879E-2</v>
      </c>
      <c r="Z84" s="158">
        <f>U40</f>
        <v>7.4420908354258772</v>
      </c>
      <c r="AA84" s="158">
        <f>$U$35</f>
        <v>31.904021110766656</v>
      </c>
      <c r="AB84" s="158">
        <f t="shared" si="79"/>
        <v>-24.46193027534078</v>
      </c>
      <c r="AC84" s="157">
        <f t="shared" si="80"/>
        <v>-0.16575350556324348</v>
      </c>
      <c r="AD84" s="159">
        <f t="shared" si="81"/>
        <v>147.58016846893955</v>
      </c>
      <c r="AE84" s="160">
        <f t="shared" si="82"/>
        <v>4.6811176274122275</v>
      </c>
      <c r="AF84" s="160">
        <f t="shared" si="83"/>
        <v>147.58016846893955</v>
      </c>
      <c r="AG84" s="160">
        <f t="shared" si="84"/>
        <v>4.6811176274122275</v>
      </c>
      <c r="AH84">
        <f t="shared" si="85"/>
        <v>147.58016846893955</v>
      </c>
    </row>
    <row r="85" spans="23:43" ht="13">
      <c r="W85" s="72" t="s">
        <v>147</v>
      </c>
      <c r="X85" s="73">
        <f>IF($U$36=0,0,$U$36/$V$36)</f>
        <v>9.2962143042476256E-2</v>
      </c>
      <c r="Y85" s="73">
        <f>IF(V37=0,0,U37/V37)</f>
        <v>6.6553342184203626E-2</v>
      </c>
      <c r="Z85" s="74">
        <f>U37</f>
        <v>13.885630049867883</v>
      </c>
      <c r="AA85" s="74">
        <f>$U$36</f>
        <v>21.400462768400601</v>
      </c>
      <c r="AB85" s="74">
        <f t="shared" si="79"/>
        <v>-7.5148327185327179</v>
      </c>
      <c r="AC85" s="73">
        <f t="shared" si="80"/>
        <v>-2.640880085827263E-2</v>
      </c>
      <c r="AD85" s="75">
        <f>IF(AC85=0,0,AB85/AC85)</f>
        <v>284.55789260793625</v>
      </c>
      <c r="AE85" s="76">
        <f t="shared" si="82"/>
        <v>-5.0526487480839641</v>
      </c>
      <c r="AF85" s="76">
        <f t="shared" si="83"/>
        <v>284.55789260793625</v>
      </c>
      <c r="AG85" s="76">
        <f t="shared" si="84"/>
        <v>0</v>
      </c>
      <c r="AH85">
        <f t="shared" si="85"/>
        <v>284.55789260793625</v>
      </c>
      <c r="AI85" s="49">
        <f>MIN(AH85:AH88)</f>
        <v>165.53653224458523</v>
      </c>
      <c r="AJ85" s="50">
        <f>MAX(AG85:AG88)</f>
        <v>6.0118319791239863</v>
      </c>
      <c r="AK85" s="42">
        <f>IF(OR(AI85=0,AJ85=0),"",VLOOKUP(AI85,AF85:AG88,2,FALSE))</f>
        <v>6.0118319791239863</v>
      </c>
      <c r="AL85" s="41" t="str">
        <f>IF(AJ85=AK85,"ok","fallo")</f>
        <v>ok</v>
      </c>
      <c r="AM85" s="92">
        <f>IF($AL$85="ok",IF(AI85&lt;0.5,0.5,AI85),"")</f>
        <v>165.53653224458523</v>
      </c>
      <c r="AN85" s="35">
        <f>IF($AL$85="ok",AJ85,"")</f>
        <v>6.0118319791239863</v>
      </c>
      <c r="AO85" s="92">
        <f>IF(AM85="","",(AM85*$F$12)+(AN85*$F$11))</f>
        <v>92967.265204935829</v>
      </c>
      <c r="AP85" s="92">
        <f>AM85</f>
        <v>165.53653224458523</v>
      </c>
      <c r="AQ85" s="35">
        <f>AN85</f>
        <v>6.0118319791239863</v>
      </c>
    </row>
    <row r="86" spans="23:43">
      <c r="W86" s="72" t="s">
        <v>148</v>
      </c>
      <c r="X86" s="73">
        <f t="shared" ref="X86:X88" si="86">IF($U$36=0,0,$U$36/$V$36)</f>
        <v>9.2962143042476256E-2</v>
      </c>
      <c r="Y86" s="73">
        <f t="shared" ref="Y86:Y88" si="87">IF(V38=0,0,U38/V38)</f>
        <v>3.1960326331748938E-2</v>
      </c>
      <c r="Z86" s="74">
        <f>U38</f>
        <v>11.302433569487011</v>
      </c>
      <c r="AA86" s="74">
        <f>$U$36</f>
        <v>21.400462768400601</v>
      </c>
      <c r="AB86" s="74">
        <f t="shared" si="79"/>
        <v>-10.09802919891359</v>
      </c>
      <c r="AC86" s="73">
        <f t="shared" si="80"/>
        <v>-6.1001816710727318E-2</v>
      </c>
      <c r="AD86" s="75">
        <f t="shared" ref="AD86:AD88" si="88">IF(AC86=0,0,AB86/AC86)</f>
        <v>165.53653224458523</v>
      </c>
      <c r="AE86" s="76">
        <f t="shared" si="82"/>
        <v>6.0118319791239863</v>
      </c>
      <c r="AF86" s="76">
        <f t="shared" si="83"/>
        <v>165.53653224458523</v>
      </c>
      <c r="AG86" s="76">
        <f t="shared" si="84"/>
        <v>6.0118319791239863</v>
      </c>
      <c r="AH86">
        <f t="shared" si="85"/>
        <v>165.53653224458523</v>
      </c>
    </row>
    <row r="87" spans="23:43">
      <c r="W87" s="72" t="s">
        <v>149</v>
      </c>
      <c r="X87" s="73">
        <f t="shared" si="86"/>
        <v>9.2962143042476256E-2</v>
      </c>
      <c r="Y87" s="73">
        <f t="shared" si="87"/>
        <v>2.8267247122531796E-2</v>
      </c>
      <c r="Z87" s="74">
        <f>U39</f>
        <v>8.0036893461229894</v>
      </c>
      <c r="AA87" s="74">
        <f>$U$36</f>
        <v>21.400462768400601</v>
      </c>
      <c r="AB87" s="74">
        <f t="shared" si="79"/>
        <v>-13.396773422277612</v>
      </c>
      <c r="AC87" s="73">
        <f t="shared" si="80"/>
        <v>-6.4694895919944456E-2</v>
      </c>
      <c r="AD87" s="75">
        <f t="shared" si="88"/>
        <v>207.07620333534828</v>
      </c>
      <c r="AE87" s="76">
        <f t="shared" si="82"/>
        <v>2.1502151332470554</v>
      </c>
      <c r="AF87" s="76">
        <f t="shared" si="83"/>
        <v>207.07620333534828</v>
      </c>
      <c r="AG87" s="76">
        <f t="shared" si="84"/>
        <v>2.1502151332470554</v>
      </c>
      <c r="AH87">
        <f t="shared" si="85"/>
        <v>207.07620333534828</v>
      </c>
    </row>
    <row r="88" spans="23:43">
      <c r="W88" s="72" t="s">
        <v>150</v>
      </c>
      <c r="X88" s="73">
        <f t="shared" si="86"/>
        <v>9.2962143042476256E-2</v>
      </c>
      <c r="Y88" s="73">
        <f t="shared" si="87"/>
        <v>1.8708294187878879E-2</v>
      </c>
      <c r="Z88" s="74">
        <f>U40</f>
        <v>7.4420908354258772</v>
      </c>
      <c r="AA88" s="74">
        <f>$U$36</f>
        <v>21.400462768400601</v>
      </c>
      <c r="AB88" s="74">
        <f t="shared" si="79"/>
        <v>-13.958371932974725</v>
      </c>
      <c r="AC88" s="73">
        <f t="shared" si="80"/>
        <v>-7.4253848854597376E-2</v>
      </c>
      <c r="AD88" s="75">
        <f t="shared" si="88"/>
        <v>187.98179688042529</v>
      </c>
      <c r="AE88" s="76">
        <f t="shared" si="82"/>
        <v>3.9252720774207894</v>
      </c>
      <c r="AF88" s="76">
        <f t="shared" si="83"/>
        <v>187.98179688042529</v>
      </c>
      <c r="AG88" s="76">
        <f t="shared" si="84"/>
        <v>3.9252720774207894</v>
      </c>
      <c r="AH88">
        <f t="shared" si="85"/>
        <v>187.98179688042529</v>
      </c>
    </row>
    <row r="89" spans="23:43" ht="13">
      <c r="W89" s="77" t="s">
        <v>151</v>
      </c>
      <c r="X89" s="78">
        <f>IF($U$37=0,0,$U$37/$V$37)</f>
        <v>6.6553342184203626E-2</v>
      </c>
      <c r="Y89" s="78">
        <f>IF(V38=0,0,U38/V38)</f>
        <v>3.1960326331748938E-2</v>
      </c>
      <c r="Z89" s="79">
        <f>U38</f>
        <v>11.302433569487011</v>
      </c>
      <c r="AA89" s="79">
        <f>$U$37</f>
        <v>13.885630049867883</v>
      </c>
      <c r="AB89" s="79">
        <f t="shared" si="79"/>
        <v>-2.583196480380872</v>
      </c>
      <c r="AC89" s="78">
        <f t="shared" si="80"/>
        <v>-3.4593015852454688E-2</v>
      </c>
      <c r="AD89" s="80">
        <f>IF(AC89=0,0,AB89/AC89)</f>
        <v>74.673931044308489</v>
      </c>
      <c r="AE89" s="50">
        <f t="shared" si="82"/>
        <v>8.9158303648363955</v>
      </c>
      <c r="AF89" s="50">
        <f t="shared" si="83"/>
        <v>74.673931044308489</v>
      </c>
      <c r="AG89" s="50">
        <f t="shared" si="84"/>
        <v>8.9158303648363955</v>
      </c>
      <c r="AH89">
        <f t="shared" si="85"/>
        <v>74.673931044308489</v>
      </c>
      <c r="AI89" s="49">
        <f>MIN(AH89:AH91)</f>
        <v>74.673931044308489</v>
      </c>
      <c r="AJ89" s="50">
        <f>MAX(AG89:AG91)</f>
        <v>8.9158303648363955</v>
      </c>
      <c r="AK89" s="42">
        <f>IF(OR(AI89=0,AJ89=0),"",VLOOKUP(AI89,AF89:AG91,2,FALSE))</f>
        <v>8.9158303648363955</v>
      </c>
      <c r="AL89" s="41" t="str">
        <f>IF(AJ89=AK89,"ok","fallo")</f>
        <v>ok</v>
      </c>
      <c r="AM89" s="92">
        <f>IF($AL$89="ok",IF(AI89&lt;0.5,0.5,AI89),"")</f>
        <v>74.673931044308489</v>
      </c>
      <c r="AN89" s="35">
        <f>IF($AL$89="ok",AJ89,"")</f>
        <v>8.9158303648363955</v>
      </c>
      <c r="AO89" s="92">
        <f>IF(AM89="","",(AM89*$F$12)+(AN89*$F$11))</f>
        <v>69545.017541245354</v>
      </c>
      <c r="AP89" s="92">
        <f>AM89</f>
        <v>74.673931044308489</v>
      </c>
      <c r="AQ89" s="35">
        <f>AN89</f>
        <v>8.9158303648363955</v>
      </c>
    </row>
    <row r="90" spans="23:43">
      <c r="W90" s="77" t="s">
        <v>152</v>
      </c>
      <c r="X90" s="78">
        <f t="shared" ref="X90:X91" si="89">IF($U$37=0,0,$U$37/$V$37)</f>
        <v>6.6553342184203626E-2</v>
      </c>
      <c r="Y90" s="78">
        <f t="shared" ref="Y90:Y91" si="90">IF(V39=0,0,U39/V39)</f>
        <v>2.8267247122531796E-2</v>
      </c>
      <c r="Z90" s="79">
        <f>U39</f>
        <v>8.0036893461229894</v>
      </c>
      <c r="AA90" s="79">
        <f>$U$37</f>
        <v>13.885630049867883</v>
      </c>
      <c r="AB90" s="79">
        <f t="shared" si="79"/>
        <v>-5.8819407037448936</v>
      </c>
      <c r="AC90" s="78">
        <f t="shared" si="80"/>
        <v>-3.8286095061671827E-2</v>
      </c>
      <c r="AD90" s="80">
        <f t="shared" ref="AD90:AD91" si="91">IF(AC90=0,0,AB90/AC90)</f>
        <v>153.63125161420024</v>
      </c>
      <c r="AE90" s="50">
        <f t="shared" si="82"/>
        <v>3.6609567910005296</v>
      </c>
      <c r="AF90" s="50">
        <f t="shared" si="83"/>
        <v>153.63125161420024</v>
      </c>
      <c r="AG90" s="50">
        <f t="shared" si="84"/>
        <v>3.6609567910005296</v>
      </c>
      <c r="AH90">
        <f t="shared" si="85"/>
        <v>153.63125161420024</v>
      </c>
    </row>
    <row r="91" spans="23:43">
      <c r="W91" s="77" t="s">
        <v>153</v>
      </c>
      <c r="X91" s="78">
        <f t="shared" si="89"/>
        <v>6.6553342184203626E-2</v>
      </c>
      <c r="Y91" s="78">
        <f t="shared" si="90"/>
        <v>1.8708294187878879E-2</v>
      </c>
      <c r="Z91" s="79">
        <f>U40</f>
        <v>7.4420908354258772</v>
      </c>
      <c r="AA91" s="79">
        <f>$U$37</f>
        <v>13.885630049867883</v>
      </c>
      <c r="AB91" s="79">
        <f t="shared" si="79"/>
        <v>-6.4435392144420058</v>
      </c>
      <c r="AC91" s="78">
        <f t="shared" si="80"/>
        <v>-4.7845047996324747E-2</v>
      </c>
      <c r="AD91" s="80">
        <f t="shared" si="91"/>
        <v>134.67515415465715</v>
      </c>
      <c r="AE91" s="50">
        <f t="shared" si="82"/>
        <v>4.9225484317026122</v>
      </c>
      <c r="AF91" s="50">
        <f t="shared" si="83"/>
        <v>134.67515415465715</v>
      </c>
      <c r="AG91" s="50">
        <f t="shared" si="84"/>
        <v>4.9225484317026122</v>
      </c>
      <c r="AH91">
        <f t="shared" si="85"/>
        <v>134.67515415465715</v>
      </c>
    </row>
    <row r="92" spans="23:43" ht="13">
      <c r="W92" s="81" t="s">
        <v>154</v>
      </c>
      <c r="X92" s="84">
        <f>IF($U$38=0,0,$U$38/$V$38)</f>
        <v>3.1960326331748938E-2</v>
      </c>
      <c r="Y92" s="84">
        <f>IF(V39=0,0,U39/V39)</f>
        <v>2.8267247122531796E-2</v>
      </c>
      <c r="Z92" s="83">
        <f>U39</f>
        <v>8.0036893461229894</v>
      </c>
      <c r="AA92" s="83">
        <f>$U$38</f>
        <v>11.302433569487011</v>
      </c>
      <c r="AB92" s="83">
        <f t="shared" si="79"/>
        <v>-3.2987442233640216</v>
      </c>
      <c r="AC92" s="84">
        <f t="shared" si="80"/>
        <v>-3.693079209217142E-3</v>
      </c>
      <c r="AD92" s="85">
        <f>IF(AC92=0,0,AB92/AC92)</f>
        <v>893.22325259936372</v>
      </c>
      <c r="AE92" s="82">
        <f t="shared" si="82"/>
        <v>-17.245273070694868</v>
      </c>
      <c r="AF92" s="82">
        <f t="shared" si="83"/>
        <v>0</v>
      </c>
      <c r="AG92" s="82">
        <f t="shared" si="84"/>
        <v>0</v>
      </c>
      <c r="AH92" t="str">
        <f t="shared" si="85"/>
        <v/>
      </c>
      <c r="AI92" s="49">
        <f>MIN(AH92:AH93)</f>
        <v>291.30194464905503</v>
      </c>
      <c r="AJ92" s="50">
        <f>MAX(AG92:AG93)</f>
        <v>1.9923283574301465</v>
      </c>
      <c r="AK92" s="42">
        <f>IF(OR(AI92=0,AJ92=0),"",VLOOKUP(AI92,AF92:AG93,2,FALSE))</f>
        <v>1.9923283574301465</v>
      </c>
      <c r="AL92" s="41" t="str">
        <f>IF(AJ92=AK92,"ok","fallo")</f>
        <v>ok</v>
      </c>
      <c r="AM92" s="92">
        <f>IF($AL$92="ok",IF(AI92&lt;0.5,0.5,AI92),"")</f>
        <v>291.30194464905503</v>
      </c>
      <c r="AN92" s="35">
        <f>IF($AL$92="ok",AJ92,"")</f>
        <v>1.9923283574301465</v>
      </c>
      <c r="AO92" s="92">
        <f>IF(AM92="","",(AM92*$F$12)+(AN92*$F$11))</f>
        <v>125386.63905018618</v>
      </c>
      <c r="AP92" s="92">
        <f>AM92</f>
        <v>291.30194464905503</v>
      </c>
      <c r="AQ92" s="35">
        <f>AN92</f>
        <v>1.9923283574301465</v>
      </c>
    </row>
    <row r="93" spans="23:43">
      <c r="W93" s="81" t="s">
        <v>155</v>
      </c>
      <c r="X93" s="84">
        <f>IF($U$38=0,0,$U$38/$V$38)</f>
        <v>3.1960326331748938E-2</v>
      </c>
      <c r="Y93" s="84">
        <f>IF(V40=0,0,U40/V40)</f>
        <v>1.8708294187878879E-2</v>
      </c>
      <c r="Z93" s="83">
        <f>U40</f>
        <v>7.4420908354258772</v>
      </c>
      <c r="AA93" s="83">
        <f>$U$38</f>
        <v>11.302433569487011</v>
      </c>
      <c r="AB93" s="83">
        <f t="shared" si="79"/>
        <v>-3.8603427340611338</v>
      </c>
      <c r="AC93" s="84">
        <f t="shared" si="80"/>
        <v>-1.3252032143870059E-2</v>
      </c>
      <c r="AD93" s="85">
        <f>IF(AC93=0,0,AB93/AC93)</f>
        <v>291.30194464905503</v>
      </c>
      <c r="AE93" s="82">
        <f t="shared" si="82"/>
        <v>1.9923283574301465</v>
      </c>
      <c r="AF93" s="82">
        <f t="shared" si="83"/>
        <v>291.30194464905503</v>
      </c>
      <c r="AG93" s="82">
        <f t="shared" si="84"/>
        <v>1.9923283574301465</v>
      </c>
      <c r="AH93">
        <f t="shared" si="85"/>
        <v>291.30194464905503</v>
      </c>
    </row>
    <row r="94" spans="23:43" ht="13">
      <c r="W94" s="86" t="s">
        <v>156</v>
      </c>
      <c r="X94" s="87">
        <f>IF(U39=0,0,U39/V39)</f>
        <v>2.8267247122531796E-2</v>
      </c>
      <c r="Y94" s="87">
        <f>IF(V40=0,0,U40/V40)</f>
        <v>1.8708294187878879E-2</v>
      </c>
      <c r="Z94" s="88">
        <f>U40</f>
        <v>7.4420908354258772</v>
      </c>
      <c r="AA94" s="88">
        <f>$U$39</f>
        <v>8.0036893461229894</v>
      </c>
      <c r="AB94" s="88">
        <f t="shared" si="79"/>
        <v>-0.5615985106971122</v>
      </c>
      <c r="AC94" s="89">
        <f t="shared" si="80"/>
        <v>-9.5589529346529166E-3</v>
      </c>
      <c r="AD94" s="90">
        <f>IF(AC94=0,0,AB94/AC94)</f>
        <v>58.751048837286035</v>
      </c>
      <c r="AE94" s="87">
        <f t="shared" si="82"/>
        <v>6.3429589299314912</v>
      </c>
      <c r="AF94" s="87">
        <f t="shared" si="83"/>
        <v>58.751048837286035</v>
      </c>
      <c r="AG94" s="87">
        <f t="shared" si="84"/>
        <v>6.3429589299314912</v>
      </c>
      <c r="AH94">
        <f t="shared" si="85"/>
        <v>58.751048837286035</v>
      </c>
      <c r="AI94" s="49">
        <f>MIN(AH94)</f>
        <v>58.751048837286035</v>
      </c>
      <c r="AJ94" s="50">
        <f>MAX(AG94)</f>
        <v>6.3429589299314912</v>
      </c>
      <c r="AK94" s="42">
        <f>IF(OR(AI94=0,AJ94=0),"",VLOOKUP(AI94,AF94:AG94,2,FALSE))</f>
        <v>6.3429589299314912</v>
      </c>
      <c r="AL94" s="41" t="str">
        <f>IF(AJ94=AK94,"ok","fallo")</f>
        <v>ok</v>
      </c>
      <c r="AM94" s="92">
        <f>IF($AL$94="ok",IF(AI94&lt;0.5,0.5,AI94),"")</f>
        <v>58.751048837286035</v>
      </c>
      <c r="AN94" s="35">
        <f>IF($AL$94="ok",AJ94,"")</f>
        <v>6.3429589299314912</v>
      </c>
      <c r="AO94" s="92">
        <f>IF(AM94="","",(AM94*$F$12)+(AN94*$F$11))</f>
        <v>51726.58677310955</v>
      </c>
      <c r="AP94" s="92">
        <f>AM94</f>
        <v>58.751048837286035</v>
      </c>
      <c r="AQ94" s="35">
        <f>AN94</f>
        <v>6.3429589299314912</v>
      </c>
    </row>
    <row r="97" spans="22:23">
      <c r="V97" s="36">
        <f>'Inclination angle'!H14</f>
        <v>19</v>
      </c>
      <c r="W97" s="35">
        <f>'Inclination angle'!G16</f>
        <v>5.4182414820366018</v>
      </c>
    </row>
    <row r="98" spans="22:23">
      <c r="W98" s="35">
        <f>'Inclination angle'!G17</f>
        <v>5.2241470882657488</v>
      </c>
    </row>
    <row r="99" spans="22:23">
      <c r="W99" s="35">
        <f>'Inclination angle'!G18</f>
        <v>3.7863889672700011</v>
      </c>
    </row>
    <row r="100" spans="22:23">
      <c r="W100" s="35">
        <f>'Inclination angle'!G19</f>
        <v>2.4673818877722957</v>
      </c>
    </row>
    <row r="101" spans="22:23">
      <c r="W101" s="35">
        <f>'Inclination angle'!G20</f>
        <v>1.5604596553326406</v>
      </c>
    </row>
    <row r="102" spans="22:23">
      <c r="W102" s="35">
        <f>'Inclination angle'!G21</f>
        <v>1.256903900599277</v>
      </c>
    </row>
    <row r="103" spans="22:23">
      <c r="W103" s="35">
        <f>'Inclination angle'!G22</f>
        <v>1.4225926283465842</v>
      </c>
    </row>
    <row r="104" spans="22:23">
      <c r="W104" s="35">
        <f>'Inclination angle'!G23</f>
        <v>2.1208151308674936</v>
      </c>
    </row>
    <row r="105" spans="22:23">
      <c r="W105" s="35">
        <f>'Inclination angle'!G24</f>
        <v>3.2685895478845977</v>
      </c>
    </row>
    <row r="106" spans="22:23">
      <c r="W106" s="35">
        <f>'Inclination angle'!G25</f>
        <v>4.0156330021986957</v>
      </c>
    </row>
    <row r="107" spans="22:23">
      <c r="W107" s="35">
        <f>'Inclination angle'!G26</f>
        <v>5.6706880144936864</v>
      </c>
    </row>
    <row r="108" spans="22:23">
      <c r="W108" s="35">
        <f>'Inclination angle'!G27</f>
        <v>6.098612103838045</v>
      </c>
    </row>
  </sheetData>
  <sheetProtection password="9853" sheet="1" objects="1" scenarios="1" selectLockedCells="1"/>
  <mergeCells count="40">
    <mergeCell ref="L22:L23"/>
    <mergeCell ref="M16:M17"/>
    <mergeCell ref="I19:I20"/>
    <mergeCell ref="M19:M20"/>
    <mergeCell ref="L16:L17"/>
    <mergeCell ref="L19:L20"/>
    <mergeCell ref="I16:I17"/>
    <mergeCell ref="L38:L39"/>
    <mergeCell ref="O28:O29"/>
    <mergeCell ref="O30:O31"/>
    <mergeCell ref="O32:O33"/>
    <mergeCell ref="O34:O35"/>
    <mergeCell ref="O36:O37"/>
    <mergeCell ref="O38:O39"/>
    <mergeCell ref="L28:L29"/>
    <mergeCell ref="L30:L31"/>
    <mergeCell ref="L32:L33"/>
    <mergeCell ref="L34:L35"/>
    <mergeCell ref="L36:L37"/>
    <mergeCell ref="I25:I26"/>
    <mergeCell ref="L25:L26"/>
    <mergeCell ref="M25:M26"/>
    <mergeCell ref="D9:E9"/>
    <mergeCell ref="I13:J13"/>
    <mergeCell ref="L13:L14"/>
    <mergeCell ref="I14:J14"/>
    <mergeCell ref="I10:J10"/>
    <mergeCell ref="I12:K12"/>
    <mergeCell ref="D10:E10"/>
    <mergeCell ref="I9:J9"/>
    <mergeCell ref="D11:E11"/>
    <mergeCell ref="D12:E12"/>
    <mergeCell ref="I22:I23"/>
    <mergeCell ref="M22:M23"/>
    <mergeCell ref="M9:N9"/>
    <mergeCell ref="M10:N10"/>
    <mergeCell ref="E3:H3"/>
    <mergeCell ref="L3:O3"/>
    <mergeCell ref="E5:H5"/>
    <mergeCell ref="L5:O5"/>
  </mergeCells>
  <phoneticPr fontId="12" type="noConversion"/>
  <printOptions horizontalCentered="1" verticalCentered="1"/>
  <pageMargins left="0" right="0" top="0" bottom="0" header="0" footer="0"/>
  <pageSetup paperSize="9" scale="96" orientation="landscape" horizontalDpi="200" verticalDpi="200" r:id="rId1"/>
  <headerFooter alignWithMargins="0"/>
  <cellWatches>
    <cellWatch r="W35"/>
  </cellWatches>
  <ignoredErrors>
    <ignoredError sqref="X1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Consumption</vt:lpstr>
      <vt:lpstr>Inclination angle</vt:lpstr>
      <vt:lpstr>Battery</vt:lpstr>
      <vt:lpstr>PV</vt:lpstr>
      <vt:lpstr>Load Reg.</vt:lpstr>
      <vt:lpstr>Power acond</vt:lpstr>
      <vt:lpstr>Protection</vt:lpstr>
      <vt:lpstr>Wiring</vt:lpstr>
      <vt:lpstr>Hybrids</vt:lpstr>
      <vt:lpstr>Radiation</vt:lpstr>
      <vt:lpstr>Battery!Área_de_impresión</vt:lpstr>
      <vt:lpstr>Consumption!Área_de_impresión</vt:lpstr>
      <vt:lpstr>Hybrids!Área_de_impresión</vt:lpstr>
      <vt:lpstr>'Inclination angle'!Área_de_impresión</vt:lpstr>
      <vt:lpstr>'Load Reg.'!Área_de_impresión</vt:lpstr>
      <vt:lpstr>Protection!Área_de_impresión</vt:lpstr>
      <vt:lpstr>PV!Área_de_impresión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Bullejos</dc:creator>
  <cp:lastModifiedBy>David Bullejos</cp:lastModifiedBy>
  <cp:lastPrinted>2009-09-25T16:32:09Z</cp:lastPrinted>
  <dcterms:created xsi:type="dcterms:W3CDTF">2003-08-09T09:33:43Z</dcterms:created>
  <dcterms:modified xsi:type="dcterms:W3CDTF">2017-07-04T06:59:58Z</dcterms:modified>
</cp:coreProperties>
</file>